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__DOWNLOADED\__other\WD2000\__Other\oikonomika\"/>
    </mc:Choice>
  </mc:AlternateContent>
  <bookViews>
    <workbookView xWindow="3525" yWindow="150" windowWidth="19905" windowHeight="12285" tabRatio="265"/>
  </bookViews>
  <sheets>
    <sheet name="sygrish" sheetId="25" r:id="rId1"/>
  </sheets>
  <definedNames>
    <definedName name="_xlnm._FilterDatabase" localSheetId="0">sygrish!#REF!</definedName>
    <definedName name="solver_adj" localSheetId="0" hidden="1">sygrish!#REF!</definedName>
    <definedName name="solver_cvg" localSheetId="0" hidden="1">0.0001</definedName>
    <definedName name="solver_drv" localSheetId="0" hidden="1">2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sygrish!#REF!</definedName>
    <definedName name="solver_lhs2" localSheetId="0" hidden="1">sygrish!#REF!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sygrish!#REF!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el2" localSheetId="0" hidden="1">2</definedName>
    <definedName name="solver_rhs1" localSheetId="0" hidden="1">sygrish!#REF!</definedName>
    <definedName name="solver_rhs2" localSheetId="0" hidden="1">sygrish!#REF!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</definedName>
    <definedName name="solver_ver" localSheetId="0" hidden="1">3</definedName>
  </definedNames>
  <calcPr calcId="152511" iterate="1"/>
</workbook>
</file>

<file path=xl/calcChain.xml><?xml version="1.0" encoding="utf-8"?>
<calcChain xmlns="http://schemas.openxmlformats.org/spreadsheetml/2006/main">
  <c r="D62" i="25" l="1"/>
  <c r="N135" i="25"/>
  <c r="O135" i="25"/>
  <c r="P135" i="25"/>
  <c r="M135" i="25"/>
  <c r="U52" i="25" l="1"/>
  <c r="U45" i="25"/>
  <c r="L45" i="25"/>
  <c r="L62" i="25"/>
  <c r="E62" i="25"/>
  <c r="F62" i="25"/>
  <c r="G62" i="25"/>
  <c r="H62" i="25"/>
  <c r="I62" i="25"/>
  <c r="J62" i="25"/>
  <c r="K62" i="25"/>
  <c r="E45" i="25"/>
  <c r="F45" i="25"/>
  <c r="G45" i="25"/>
  <c r="H45" i="25"/>
  <c r="I45" i="25"/>
  <c r="J45" i="25"/>
  <c r="K45" i="25"/>
  <c r="D45" i="25"/>
  <c r="L44" i="25"/>
  <c r="E44" i="25"/>
  <c r="F44" i="25"/>
  <c r="G44" i="25"/>
  <c r="H44" i="25"/>
  <c r="I44" i="25"/>
  <c r="J44" i="25"/>
  <c r="K44" i="25"/>
  <c r="D44" i="25"/>
  <c r="R54" i="25" l="1"/>
  <c r="Q54" i="25"/>
  <c r="N54" i="25"/>
  <c r="M54" i="25"/>
  <c r="R48" i="25"/>
  <c r="Q48" i="25"/>
  <c r="N48" i="25"/>
  <c r="M48" i="25"/>
  <c r="I48" i="25"/>
  <c r="H48" i="25"/>
  <c r="E48" i="25"/>
  <c r="D48" i="25"/>
  <c r="D152" i="25" s="1"/>
  <c r="E267" i="25" l="1"/>
  <c r="F267" i="25"/>
  <c r="I267" i="25"/>
  <c r="J267" i="25"/>
  <c r="L267" i="25"/>
  <c r="N267" i="25"/>
  <c r="P267" i="25"/>
  <c r="S267" i="25"/>
  <c r="T267" i="25"/>
  <c r="U267" i="25"/>
  <c r="E250" i="25" l="1"/>
  <c r="F250" i="25"/>
  <c r="G250" i="25"/>
  <c r="H250" i="25"/>
  <c r="I250" i="25"/>
  <c r="J250" i="25"/>
  <c r="K250" i="25"/>
  <c r="L250" i="25"/>
  <c r="M250" i="25"/>
  <c r="N250" i="25"/>
  <c r="O250" i="25"/>
  <c r="P250" i="25"/>
  <c r="Q250" i="25"/>
  <c r="R250" i="25"/>
  <c r="S250" i="25"/>
  <c r="T250" i="25"/>
  <c r="U250" i="25"/>
  <c r="N203" i="25" l="1"/>
  <c r="J183" i="25" l="1"/>
  <c r="R183" i="25"/>
  <c r="R182" i="25"/>
  <c r="N182" i="25"/>
  <c r="J182" i="25"/>
  <c r="F182" i="25"/>
  <c r="U181" i="25"/>
  <c r="T181" i="25"/>
  <c r="T183" i="25" s="1"/>
  <c r="S181" i="25"/>
  <c r="R181" i="25"/>
  <c r="R184" i="25" s="1"/>
  <c r="Q181" i="25"/>
  <c r="P181" i="25"/>
  <c r="P182" i="25" s="1"/>
  <c r="O181" i="25"/>
  <c r="O182" i="25" s="1"/>
  <c r="N181" i="25"/>
  <c r="N184" i="25" s="1"/>
  <c r="M181" i="25"/>
  <c r="L181" i="25"/>
  <c r="L183" i="25" s="1"/>
  <c r="K181" i="25"/>
  <c r="K182" i="25" s="1"/>
  <c r="J181" i="25"/>
  <c r="J184" i="25" s="1"/>
  <c r="I181" i="25"/>
  <c r="H181" i="25"/>
  <c r="H182" i="25" s="1"/>
  <c r="G181" i="25"/>
  <c r="G182" i="25" s="1"/>
  <c r="F181" i="25"/>
  <c r="F184" i="25" s="1"/>
  <c r="E181" i="25"/>
  <c r="F288" i="25" l="1"/>
  <c r="F289" i="25" s="1"/>
  <c r="R288" i="25"/>
  <c r="R289" i="25" s="1"/>
  <c r="R253" i="25"/>
  <c r="J288" i="25"/>
  <c r="J289" i="25" s="1"/>
  <c r="J253" i="25"/>
  <c r="I182" i="25"/>
  <c r="I184" i="25" s="1"/>
  <c r="Q182" i="25"/>
  <c r="Q184" i="25" s="1"/>
  <c r="S183" i="25"/>
  <c r="K183" i="25"/>
  <c r="K184" i="25"/>
  <c r="S182" i="25"/>
  <c r="S184" i="25" s="1"/>
  <c r="Q183" i="25"/>
  <c r="I183" i="25"/>
  <c r="L182" i="25"/>
  <c r="L184" i="25" s="1"/>
  <c r="T182" i="25"/>
  <c r="T184" i="25" s="1"/>
  <c r="P183" i="25"/>
  <c r="H183" i="25"/>
  <c r="E182" i="25"/>
  <c r="E184" i="25" s="1"/>
  <c r="M182" i="25"/>
  <c r="M184" i="25" s="1"/>
  <c r="U182" i="25"/>
  <c r="U184" i="25" s="1"/>
  <c r="O183" i="25"/>
  <c r="G183" i="25"/>
  <c r="P184" i="25"/>
  <c r="H184" i="25"/>
  <c r="N183" i="25"/>
  <c r="N288" i="25" s="1"/>
  <c r="N289" i="25" s="1"/>
  <c r="F183" i="25"/>
  <c r="F253" i="25" s="1"/>
  <c r="O184" i="25"/>
  <c r="G184" i="25"/>
  <c r="U183" i="25"/>
  <c r="M183" i="25"/>
  <c r="E183" i="25"/>
  <c r="N1" i="25"/>
  <c r="N245" i="25"/>
  <c r="N173" i="25"/>
  <c r="N154" i="25"/>
  <c r="N140" i="25" s="1"/>
  <c r="N152" i="25"/>
  <c r="N107" i="25"/>
  <c r="N61" i="25"/>
  <c r="N63" i="25" s="1"/>
  <c r="N45" i="25"/>
  <c r="N28" i="25"/>
  <c r="N22" i="25"/>
  <c r="T288" i="25" l="1"/>
  <c r="T289" i="25" s="1"/>
  <c r="T253" i="25"/>
  <c r="L288" i="25"/>
  <c r="L289" i="25" s="1"/>
  <c r="L253" i="25"/>
  <c r="U288" i="25"/>
  <c r="U289" i="25" s="1"/>
  <c r="U253" i="25"/>
  <c r="S288" i="25"/>
  <c r="S289" i="25" s="1"/>
  <c r="S253" i="25"/>
  <c r="Q288" i="25"/>
  <c r="Q289" i="25" s="1"/>
  <c r="Q253" i="25"/>
  <c r="I288" i="25"/>
  <c r="I289" i="25" s="1"/>
  <c r="I253" i="25"/>
  <c r="M288" i="25"/>
  <c r="M289" i="25" s="1"/>
  <c r="M253" i="25"/>
  <c r="E288" i="25"/>
  <c r="E289" i="25" s="1"/>
  <c r="E253" i="25"/>
  <c r="O288" i="25"/>
  <c r="O289" i="25" s="1"/>
  <c r="O253" i="25"/>
  <c r="G288" i="25"/>
  <c r="G289" i="25" s="1"/>
  <c r="G253" i="25"/>
  <c r="K288" i="25"/>
  <c r="K289" i="25" s="1"/>
  <c r="K253" i="25"/>
  <c r="H288" i="25"/>
  <c r="H289" i="25" s="1"/>
  <c r="H253" i="25"/>
  <c r="N253" i="25"/>
  <c r="P288" i="25"/>
  <c r="P289" i="25" s="1"/>
  <c r="P253" i="25"/>
  <c r="N141" i="25"/>
  <c r="N144" i="25" s="1"/>
  <c r="N142" i="25"/>
  <c r="E1" i="25"/>
  <c r="N143" i="25" l="1"/>
  <c r="N145" i="25" s="1"/>
  <c r="G1" i="25"/>
  <c r="N146" i="25" l="1"/>
  <c r="B571" i="25"/>
  <c r="C567" i="25"/>
  <c r="C564" i="25"/>
  <c r="C561" i="25"/>
  <c r="D250" i="25" l="1"/>
  <c r="U207" i="25" l="1"/>
  <c r="T206" i="25"/>
  <c r="S208" i="25"/>
  <c r="R205" i="25"/>
  <c r="Q202" i="25"/>
  <c r="P204" i="25"/>
  <c r="O205" i="25"/>
  <c r="M202" i="25"/>
  <c r="L207" i="25"/>
  <c r="K205" i="25"/>
  <c r="J204" i="25"/>
  <c r="I203" i="25"/>
  <c r="H202" i="25"/>
  <c r="G205" i="25"/>
  <c r="F204" i="25"/>
  <c r="E203" i="25"/>
  <c r="Q134" i="25" l="1"/>
  <c r="I107" i="25" l="1"/>
  <c r="D107" i="25"/>
  <c r="T1" i="25" l="1"/>
  <c r="T245" i="25"/>
  <c r="T173" i="25"/>
  <c r="T154" i="25"/>
  <c r="T140" i="25" s="1"/>
  <c r="T134" i="25"/>
  <c r="T61" i="25"/>
  <c r="T63" i="25" s="1"/>
  <c r="T45" i="25"/>
  <c r="T152" i="25" s="1"/>
  <c r="T28" i="25"/>
  <c r="T22" i="25"/>
  <c r="I1" i="25"/>
  <c r="H1" i="25"/>
  <c r="I447" i="25"/>
  <c r="I398" i="25" s="1"/>
  <c r="I444" i="25"/>
  <c r="I443" i="25"/>
  <c r="I442" i="25"/>
  <c r="I441" i="25"/>
  <c r="I440" i="25"/>
  <c r="I439" i="25"/>
  <c r="I438" i="25"/>
  <c r="I437" i="25"/>
  <c r="I436" i="25"/>
  <c r="I435" i="25"/>
  <c r="I434" i="25"/>
  <c r="I433" i="25"/>
  <c r="I432" i="25"/>
  <c r="I431" i="25"/>
  <c r="I430" i="25"/>
  <c r="I429" i="25"/>
  <c r="I428" i="25"/>
  <c r="I427" i="25"/>
  <c r="I426" i="25"/>
  <c r="I425" i="25"/>
  <c r="I424" i="25"/>
  <c r="I423" i="25"/>
  <c r="I422" i="25"/>
  <c r="I421" i="25"/>
  <c r="I420" i="25"/>
  <c r="I419" i="25"/>
  <c r="I418" i="25"/>
  <c r="I417" i="25"/>
  <c r="I416" i="25"/>
  <c r="I415" i="25"/>
  <c r="I414" i="25"/>
  <c r="I413" i="25"/>
  <c r="I412" i="25"/>
  <c r="I411" i="25"/>
  <c r="I410" i="25"/>
  <c r="I409" i="25"/>
  <c r="I408" i="25"/>
  <c r="I407" i="25"/>
  <c r="I406" i="25"/>
  <c r="I405" i="25"/>
  <c r="I404" i="25"/>
  <c r="I403" i="25"/>
  <c r="I402" i="25"/>
  <c r="I401" i="25"/>
  <c r="I400" i="25"/>
  <c r="I399" i="25"/>
  <c r="I245" i="25"/>
  <c r="I173" i="25"/>
  <c r="I154" i="25"/>
  <c r="I140" i="25" s="1"/>
  <c r="I150" i="25"/>
  <c r="I134" i="25"/>
  <c r="I61" i="25"/>
  <c r="I63" i="25" s="1"/>
  <c r="I152" i="25"/>
  <c r="I28" i="25"/>
  <c r="I22" i="25"/>
  <c r="T142" i="25" l="1"/>
  <c r="T143" i="25" s="1"/>
  <c r="T141" i="25"/>
  <c r="T144" i="25" s="1"/>
  <c r="I142" i="25"/>
  <c r="I141" i="25"/>
  <c r="I144" i="25" s="1"/>
  <c r="T145" i="25" l="1"/>
  <c r="T146" i="25"/>
  <c r="I143" i="25"/>
  <c r="D1" i="25"/>
  <c r="F1" i="25"/>
  <c r="I146" i="25" l="1"/>
  <c r="I145" i="25"/>
  <c r="P1" i="25" l="1"/>
  <c r="J1" i="25"/>
  <c r="E447" i="25"/>
  <c r="E398" i="25" s="1"/>
  <c r="E444" i="25"/>
  <c r="E443" i="25"/>
  <c r="E442" i="25"/>
  <c r="E441" i="25"/>
  <c r="E440" i="25"/>
  <c r="E439" i="25"/>
  <c r="E438" i="25"/>
  <c r="E437" i="25"/>
  <c r="E436" i="25"/>
  <c r="E435" i="25"/>
  <c r="E434" i="25"/>
  <c r="E433" i="25"/>
  <c r="E432" i="25"/>
  <c r="E431" i="25"/>
  <c r="E430" i="25"/>
  <c r="E429" i="25"/>
  <c r="E428" i="25"/>
  <c r="E427" i="25"/>
  <c r="E426" i="25"/>
  <c r="E425" i="25"/>
  <c r="E424" i="25"/>
  <c r="E423" i="25"/>
  <c r="E422" i="25"/>
  <c r="E421" i="25"/>
  <c r="E420" i="25"/>
  <c r="E419" i="25"/>
  <c r="E418" i="25"/>
  <c r="E417" i="25"/>
  <c r="E416" i="25"/>
  <c r="E415" i="25"/>
  <c r="E414" i="25"/>
  <c r="E413" i="25"/>
  <c r="E412" i="25"/>
  <c r="E411" i="25"/>
  <c r="E410" i="25"/>
  <c r="E409" i="25"/>
  <c r="E408" i="25"/>
  <c r="E407" i="25"/>
  <c r="E406" i="25"/>
  <c r="E405" i="25"/>
  <c r="E404" i="25"/>
  <c r="E403" i="25"/>
  <c r="E402" i="25"/>
  <c r="E401" i="25"/>
  <c r="E400" i="25"/>
  <c r="E399" i="25"/>
  <c r="E245" i="25"/>
  <c r="E154" i="25"/>
  <c r="E140" i="25" s="1"/>
  <c r="E150" i="25"/>
  <c r="E134" i="25"/>
  <c r="E107" i="25"/>
  <c r="E61" i="25"/>
  <c r="E63" i="25" s="1"/>
  <c r="E152" i="25"/>
  <c r="E28" i="25"/>
  <c r="E22" i="25"/>
  <c r="E142" i="25" l="1"/>
  <c r="E141" i="25"/>
  <c r="E144" i="25" s="1"/>
  <c r="E147" i="25"/>
  <c r="E173" i="25" s="1"/>
  <c r="E143" i="25" l="1"/>
  <c r="D202" i="25"/>
  <c r="E146" i="25" l="1"/>
  <c r="E145" i="25"/>
  <c r="F107" i="25" l="1"/>
  <c r="G107" i="25"/>
  <c r="H107" i="25"/>
  <c r="J107" i="25"/>
  <c r="K107" i="25"/>
  <c r="L107" i="25"/>
  <c r="M107" i="25"/>
  <c r="O107" i="25"/>
  <c r="P107" i="25"/>
  <c r="F245" i="25"/>
  <c r="G245" i="25"/>
  <c r="H245" i="25"/>
  <c r="J245" i="25"/>
  <c r="K245" i="25"/>
  <c r="L245" i="25"/>
  <c r="M245" i="25"/>
  <c r="O245" i="25"/>
  <c r="P245" i="25"/>
  <c r="Q245" i="25"/>
  <c r="R245" i="25"/>
  <c r="S245" i="25"/>
  <c r="U245" i="25"/>
  <c r="H173" i="25" l="1"/>
  <c r="J173" i="25"/>
  <c r="K173" i="25"/>
  <c r="M173" i="25"/>
  <c r="O173" i="25"/>
  <c r="P173" i="25"/>
  <c r="Q173" i="25"/>
  <c r="R173" i="25"/>
  <c r="S173" i="25"/>
  <c r="U173" i="25"/>
  <c r="D245" i="25" l="1"/>
  <c r="H150" i="25" l="1"/>
  <c r="O1" i="25"/>
  <c r="O154" i="25"/>
  <c r="O140" i="25" s="1"/>
  <c r="O142" i="25" s="1"/>
  <c r="O61" i="25"/>
  <c r="O63" i="25" s="1"/>
  <c r="O45" i="25"/>
  <c r="O152" i="25" s="1"/>
  <c r="O28" i="25"/>
  <c r="O22" i="25"/>
  <c r="M1" i="25"/>
  <c r="O143" i="25" l="1"/>
  <c r="O141" i="25"/>
  <c r="O144" i="25" s="1"/>
  <c r="B1" i="25"/>
  <c r="E255" i="25" l="1"/>
  <c r="M255" i="25"/>
  <c r="U255" i="25"/>
  <c r="F255" i="25"/>
  <c r="N255" i="25"/>
  <c r="O255" i="25"/>
  <c r="H255" i="25"/>
  <c r="P255" i="25"/>
  <c r="Q255" i="25"/>
  <c r="J255" i="25"/>
  <c r="K255" i="25"/>
  <c r="L255" i="25"/>
  <c r="G255" i="25"/>
  <c r="R255" i="25"/>
  <c r="I255" i="25"/>
  <c r="S255" i="25"/>
  <c r="T255" i="25"/>
  <c r="P137" i="25"/>
  <c r="P133" i="25" s="1"/>
  <c r="P163" i="25" s="1"/>
  <c r="O137" i="25"/>
  <c r="O133" i="25" s="1"/>
  <c r="O163" i="25" s="1"/>
  <c r="M137" i="25"/>
  <c r="M133" i="25" s="1"/>
  <c r="M163" i="25" s="1"/>
  <c r="J137" i="25"/>
  <c r="J133" i="25" s="1"/>
  <c r="J163" i="25" s="1"/>
  <c r="I137" i="25"/>
  <c r="I133" i="25" s="1"/>
  <c r="I163" i="25" s="1"/>
  <c r="N137" i="25"/>
  <c r="N133" i="25" s="1"/>
  <c r="N163" i="25" s="1"/>
  <c r="H137" i="25"/>
  <c r="H133" i="25" s="1"/>
  <c r="H163" i="25" s="1"/>
  <c r="K137" i="25"/>
  <c r="K133" i="25" s="1"/>
  <c r="K163" i="25" s="1"/>
  <c r="U111" i="25"/>
  <c r="T111" i="25"/>
  <c r="S111" i="25"/>
  <c r="L111" i="25"/>
  <c r="G111" i="25"/>
  <c r="K111" i="25" s="1"/>
  <c r="O111" i="25" s="1"/>
  <c r="R111" i="25" s="1"/>
  <c r="F111" i="25"/>
  <c r="J111" i="25" s="1"/>
  <c r="P111" i="25" s="1"/>
  <c r="E111" i="25"/>
  <c r="I111" i="25" s="1"/>
  <c r="N111" i="25" s="1"/>
  <c r="D111" i="25"/>
  <c r="N68" i="25"/>
  <c r="N132" i="25"/>
  <c r="D255" i="25"/>
  <c r="L68" i="25"/>
  <c r="O68" i="25"/>
  <c r="P68" i="25"/>
  <c r="M68" i="25"/>
  <c r="D66" i="25"/>
  <c r="E66" i="25" s="1"/>
  <c r="F66" i="25" s="1"/>
  <c r="G66" i="25" s="1"/>
  <c r="H66" i="25" s="1"/>
  <c r="I66" i="25" s="1"/>
  <c r="J66" i="25" s="1"/>
  <c r="K66" i="25" s="1"/>
  <c r="L66" i="25" s="1"/>
  <c r="M66" i="25" s="1"/>
  <c r="N66" i="25" s="1"/>
  <c r="T132" i="25"/>
  <c r="T133" i="25"/>
  <c r="T163" i="25" s="1"/>
  <c r="I132" i="25"/>
  <c r="E132" i="25"/>
  <c r="E137" i="25"/>
  <c r="E133" i="25" s="1"/>
  <c r="E163" i="25" s="1"/>
  <c r="F132" i="25"/>
  <c r="Q132" i="25"/>
  <c r="G132" i="25"/>
  <c r="R132" i="25"/>
  <c r="H132" i="25"/>
  <c r="S132" i="25"/>
  <c r="J132" i="25"/>
  <c r="U132" i="25"/>
  <c r="K132" i="25"/>
  <c r="M132" i="25"/>
  <c r="O132" i="25"/>
  <c r="P132" i="25"/>
  <c r="D132" i="25"/>
  <c r="Q133" i="25"/>
  <c r="Q163" i="25" s="1"/>
  <c r="R133" i="25"/>
  <c r="R163" i="25" s="1"/>
  <c r="S133" i="25"/>
  <c r="S163" i="25" s="1"/>
  <c r="U133" i="25"/>
  <c r="U163" i="25" s="1"/>
  <c r="O145" i="25"/>
  <c r="O146" i="25"/>
  <c r="G137" i="25"/>
  <c r="G133" i="25" s="1"/>
  <c r="G163" i="25" s="1"/>
  <c r="F137" i="25"/>
  <c r="F133" i="25" s="1"/>
  <c r="F163" i="25" s="1"/>
  <c r="D137" i="25"/>
  <c r="D133" i="25" s="1"/>
  <c r="D163" i="25" s="1"/>
  <c r="O66" i="25" l="1"/>
  <c r="P66" i="25" s="1"/>
  <c r="Q66" i="25" s="1"/>
  <c r="R66" i="25" s="1"/>
  <c r="S66" i="25" s="1"/>
  <c r="T66" i="25" s="1"/>
  <c r="U66" i="25" s="1"/>
  <c r="N148" i="25"/>
  <c r="N149" i="25" s="1"/>
  <c r="H111" i="25"/>
  <c r="M111" i="25" s="1"/>
  <c r="Q111" i="25" s="1"/>
  <c r="E148" i="25"/>
  <c r="E149" i="25" s="1"/>
  <c r="E64" i="25" s="1"/>
  <c r="P154" i="25"/>
  <c r="P140" i="25" s="1"/>
  <c r="P61" i="25"/>
  <c r="P63" i="25" s="1"/>
  <c r="P45" i="25"/>
  <c r="P152" i="25" s="1"/>
  <c r="P28" i="25"/>
  <c r="P22" i="25"/>
  <c r="J447" i="25"/>
  <c r="J398" i="25" s="1"/>
  <c r="J444" i="25"/>
  <c r="J443" i="25"/>
  <c r="J442" i="25"/>
  <c r="J441" i="25"/>
  <c r="J440" i="25"/>
  <c r="J439" i="25"/>
  <c r="J438" i="25"/>
  <c r="J437" i="25"/>
  <c r="J436" i="25"/>
  <c r="J435" i="25"/>
  <c r="J434" i="25"/>
  <c r="J433" i="25"/>
  <c r="J432" i="25"/>
  <c r="J431" i="25"/>
  <c r="J430" i="25"/>
  <c r="J429" i="25"/>
  <c r="J428" i="25"/>
  <c r="J427" i="25"/>
  <c r="J426" i="25"/>
  <c r="J425" i="25"/>
  <c r="J424" i="25"/>
  <c r="J423" i="25"/>
  <c r="J422" i="25"/>
  <c r="J421" i="25"/>
  <c r="J420" i="25"/>
  <c r="J419" i="25"/>
  <c r="J418" i="25"/>
  <c r="J417" i="25"/>
  <c r="J416" i="25"/>
  <c r="J415" i="25"/>
  <c r="J414" i="25"/>
  <c r="J413" i="25"/>
  <c r="J412" i="25"/>
  <c r="J411" i="25"/>
  <c r="J410" i="25"/>
  <c r="J409" i="25"/>
  <c r="J408" i="25"/>
  <c r="J407" i="25"/>
  <c r="J406" i="25"/>
  <c r="J405" i="25"/>
  <c r="J404" i="25"/>
  <c r="J403" i="25"/>
  <c r="J402" i="25"/>
  <c r="J401" i="25"/>
  <c r="J400" i="25"/>
  <c r="J399" i="25"/>
  <c r="J154" i="25"/>
  <c r="J140" i="25" s="1"/>
  <c r="J150" i="25"/>
  <c r="J134" i="25"/>
  <c r="J61" i="25"/>
  <c r="J63" i="25" s="1"/>
  <c r="J28" i="25"/>
  <c r="J22" i="25"/>
  <c r="S1" i="25"/>
  <c r="S154" i="25"/>
  <c r="S140" i="25" s="1"/>
  <c r="S134" i="25"/>
  <c r="S61" i="25"/>
  <c r="S63" i="25" s="1"/>
  <c r="S45" i="25"/>
  <c r="S28" i="25"/>
  <c r="S22" i="25"/>
  <c r="R1" i="25"/>
  <c r="Q1" i="25"/>
  <c r="R154" i="25"/>
  <c r="R140" i="25" s="1"/>
  <c r="R134" i="25"/>
  <c r="R61" i="25"/>
  <c r="R63" i="25" s="1"/>
  <c r="R45" i="25"/>
  <c r="R28" i="25"/>
  <c r="R22" i="25"/>
  <c r="U1" i="25"/>
  <c r="Q154" i="25"/>
  <c r="Q140" i="25" s="1"/>
  <c r="Q61" i="25"/>
  <c r="Q63" i="25" s="1"/>
  <c r="Q45" i="25"/>
  <c r="Q28" i="25"/>
  <c r="Q22" i="25"/>
  <c r="L1" i="25"/>
  <c r="D447" i="25"/>
  <c r="K1" i="25"/>
  <c r="K447" i="25"/>
  <c r="K398" i="25" s="1"/>
  <c r="K444" i="25"/>
  <c r="K443" i="25"/>
  <c r="K442" i="25"/>
  <c r="K441" i="25"/>
  <c r="K440" i="25"/>
  <c r="K439" i="25"/>
  <c r="K438" i="25"/>
  <c r="K437" i="25"/>
  <c r="K436" i="25"/>
  <c r="K435" i="25"/>
  <c r="K434" i="25"/>
  <c r="K433" i="25"/>
  <c r="K432" i="25"/>
  <c r="K431" i="25"/>
  <c r="K430" i="25"/>
  <c r="K429" i="25"/>
  <c r="K428" i="25"/>
  <c r="K427" i="25"/>
  <c r="K426" i="25"/>
  <c r="K425" i="25"/>
  <c r="K424" i="25"/>
  <c r="K423" i="25"/>
  <c r="K422" i="25"/>
  <c r="K421" i="25"/>
  <c r="K420" i="25"/>
  <c r="K419" i="25"/>
  <c r="K418" i="25"/>
  <c r="K417" i="25"/>
  <c r="K416" i="25"/>
  <c r="K415" i="25"/>
  <c r="K414" i="25"/>
  <c r="K413" i="25"/>
  <c r="K412" i="25"/>
  <c r="K411" i="25"/>
  <c r="K410" i="25"/>
  <c r="K409" i="25"/>
  <c r="K408" i="25"/>
  <c r="K407" i="25"/>
  <c r="K406" i="25"/>
  <c r="K405" i="25"/>
  <c r="K404" i="25"/>
  <c r="K403" i="25"/>
  <c r="K402" i="25"/>
  <c r="K401" i="25"/>
  <c r="K400" i="25"/>
  <c r="K399" i="25"/>
  <c r="K154" i="25"/>
  <c r="K140" i="25" s="1"/>
  <c r="K150" i="25"/>
  <c r="K134" i="25"/>
  <c r="K61" i="25"/>
  <c r="K28" i="25"/>
  <c r="K22" i="25"/>
  <c r="L61" i="25"/>
  <c r="L154" i="25"/>
  <c r="L140" i="25" s="1"/>
  <c r="L28" i="25"/>
  <c r="L22" i="25"/>
  <c r="G447" i="25"/>
  <c r="G398" i="25" s="1"/>
  <c r="G444" i="25"/>
  <c r="G443" i="25"/>
  <c r="G442" i="25"/>
  <c r="G441" i="25"/>
  <c r="G440" i="25"/>
  <c r="G439" i="25"/>
  <c r="G438" i="25"/>
  <c r="G437" i="25"/>
  <c r="G436" i="25"/>
  <c r="G435" i="25"/>
  <c r="G434" i="25"/>
  <c r="G433" i="25"/>
  <c r="G432" i="25"/>
  <c r="G431" i="25"/>
  <c r="G430" i="25"/>
  <c r="G429" i="25"/>
  <c r="G428" i="25"/>
  <c r="G427" i="25"/>
  <c r="G426" i="25"/>
  <c r="G425" i="25"/>
  <c r="G424" i="25"/>
  <c r="G423" i="25"/>
  <c r="G422" i="25"/>
  <c r="G421" i="25"/>
  <c r="G420" i="25"/>
  <c r="G419" i="25"/>
  <c r="G418" i="25"/>
  <c r="G417" i="25"/>
  <c r="G416" i="25"/>
  <c r="G415" i="25"/>
  <c r="G414" i="25"/>
  <c r="G413" i="25"/>
  <c r="G412" i="25"/>
  <c r="G411" i="25"/>
  <c r="G410" i="25"/>
  <c r="G409" i="25"/>
  <c r="G408" i="25"/>
  <c r="G407" i="25"/>
  <c r="G406" i="25"/>
  <c r="G405" i="25"/>
  <c r="G404" i="25"/>
  <c r="G403" i="25"/>
  <c r="G402" i="25"/>
  <c r="G401" i="25"/>
  <c r="G400" i="25"/>
  <c r="G399" i="25"/>
  <c r="G154" i="25"/>
  <c r="G140" i="25" s="1"/>
  <c r="G150" i="25"/>
  <c r="G134" i="25"/>
  <c r="G61" i="25"/>
  <c r="G63" i="25" s="1"/>
  <c r="G28" i="25"/>
  <c r="G22" i="25"/>
  <c r="F447" i="25"/>
  <c r="F398" i="25" s="1"/>
  <c r="F444" i="25"/>
  <c r="F443" i="25"/>
  <c r="F442" i="25"/>
  <c r="F441" i="25"/>
  <c r="F440" i="25"/>
  <c r="F439" i="25"/>
  <c r="F438" i="25"/>
  <c r="F437" i="25"/>
  <c r="F436" i="25"/>
  <c r="F435" i="25"/>
  <c r="F434" i="25"/>
  <c r="F433" i="25"/>
  <c r="F432" i="25"/>
  <c r="F431" i="25"/>
  <c r="F430" i="25"/>
  <c r="F429" i="25"/>
  <c r="F428" i="25"/>
  <c r="F427" i="25"/>
  <c r="F426" i="25"/>
  <c r="F425" i="25"/>
  <c r="F424" i="25"/>
  <c r="F423" i="25"/>
  <c r="F422" i="25"/>
  <c r="F421" i="25"/>
  <c r="F420" i="25"/>
  <c r="F419" i="25"/>
  <c r="F418" i="25"/>
  <c r="F417" i="25"/>
  <c r="F416" i="25"/>
  <c r="F415" i="25"/>
  <c r="F414" i="25"/>
  <c r="F413" i="25"/>
  <c r="F412" i="25"/>
  <c r="F411" i="25"/>
  <c r="F410" i="25"/>
  <c r="F409" i="25"/>
  <c r="F408" i="25"/>
  <c r="F407" i="25"/>
  <c r="F406" i="25"/>
  <c r="F405" i="25"/>
  <c r="F404" i="25"/>
  <c r="F403" i="25"/>
  <c r="F402" i="25"/>
  <c r="F401" i="25"/>
  <c r="F400" i="25"/>
  <c r="F399" i="25"/>
  <c r="F154" i="25"/>
  <c r="F140" i="25" s="1"/>
  <c r="F150" i="25"/>
  <c r="F134" i="25"/>
  <c r="F61" i="25"/>
  <c r="F28" i="25"/>
  <c r="F22" i="25"/>
  <c r="H154" i="25"/>
  <c r="H140" i="25" s="1"/>
  <c r="M154" i="25"/>
  <c r="M140" i="25" s="1"/>
  <c r="U154" i="25"/>
  <c r="U140" i="25" s="1"/>
  <c r="D154" i="25"/>
  <c r="D140" i="25" s="1"/>
  <c r="D147" i="25" s="1"/>
  <c r="U134" i="25"/>
  <c r="H61" i="25"/>
  <c r="H63" i="25" s="1"/>
  <c r="M61" i="25"/>
  <c r="M63" i="25" s="1"/>
  <c r="U61" i="25"/>
  <c r="U63" i="25" s="1"/>
  <c r="D61" i="25"/>
  <c r="D63" i="25" s="1"/>
  <c r="M45" i="25"/>
  <c r="N65" i="25" l="1"/>
  <c r="N64" i="25"/>
  <c r="N112" i="25" s="1"/>
  <c r="I148" i="25"/>
  <c r="O148" i="25"/>
  <c r="O149" i="25" s="1"/>
  <c r="E65" i="25"/>
  <c r="E112" i="25"/>
  <c r="L63" i="25"/>
  <c r="L112" i="25"/>
  <c r="K63" i="25"/>
  <c r="F63" i="25"/>
  <c r="K152" i="25"/>
  <c r="G152" i="25"/>
  <c r="S152" i="25"/>
  <c r="F152" i="25"/>
  <c r="H152" i="25"/>
  <c r="Q152" i="25"/>
  <c r="J152" i="25"/>
  <c r="M152" i="25"/>
  <c r="R152" i="25"/>
  <c r="U152" i="25"/>
  <c r="F142" i="25"/>
  <c r="L152" i="25"/>
  <c r="G142" i="25"/>
  <c r="D141" i="25"/>
  <c r="T148" i="25" l="1"/>
  <c r="I149" i="25"/>
  <c r="O64" i="25"/>
  <c r="O112" i="25" s="1"/>
  <c r="O65" i="25"/>
  <c r="F147" i="25"/>
  <c r="F173" i="25" s="1"/>
  <c r="F141" i="25"/>
  <c r="F144" i="25" s="1"/>
  <c r="G141" i="25"/>
  <c r="G144" i="25" s="1"/>
  <c r="G147" i="25"/>
  <c r="G173" i="25" s="1"/>
  <c r="G143" i="25"/>
  <c r="F143" i="25"/>
  <c r="D150" i="25"/>
  <c r="T149" i="25" l="1"/>
  <c r="I65" i="25"/>
  <c r="I64" i="25"/>
  <c r="I112" i="25" s="1"/>
  <c r="F145" i="25"/>
  <c r="G145" i="25"/>
  <c r="G146" i="25"/>
  <c r="G148" i="25" s="1"/>
  <c r="F146" i="25"/>
  <c r="F148" i="25" s="1"/>
  <c r="T136" i="25" l="1"/>
  <c r="T64" i="25"/>
  <c r="T112" i="25" s="1"/>
  <c r="L147" i="25"/>
  <c r="L173" i="25" s="1"/>
  <c r="L142" i="25"/>
  <c r="L143" i="25" s="1"/>
  <c r="L146" i="25" s="1"/>
  <c r="L141" i="25"/>
  <c r="L144" i="25" s="1"/>
  <c r="F149" i="25"/>
  <c r="T65" i="25" l="1"/>
  <c r="T114" i="25"/>
  <c r="F64" i="25"/>
  <c r="F112" i="25" s="1"/>
  <c r="F65" i="25"/>
  <c r="L148" i="25"/>
  <c r="G149" i="25"/>
  <c r="L145" i="25"/>
  <c r="J142" i="25"/>
  <c r="J143" i="25" s="1"/>
  <c r="J141" i="25"/>
  <c r="J144" i="25" s="1"/>
  <c r="G64" i="25" l="1"/>
  <c r="G112" i="25" s="1"/>
  <c r="G65" i="25"/>
  <c r="L149" i="25"/>
  <c r="K141" i="25"/>
  <c r="K144" i="25" s="1"/>
  <c r="K142" i="25"/>
  <c r="K143" i="25" s="1"/>
  <c r="K146" i="25" s="1"/>
  <c r="K148" i="25" s="1"/>
  <c r="J145" i="25"/>
  <c r="J146" i="25"/>
  <c r="J148" i="25" s="1"/>
  <c r="L65" i="25" l="1"/>
  <c r="L64" i="25"/>
  <c r="K149" i="25"/>
  <c r="J149" i="25"/>
  <c r="K145" i="25"/>
  <c r="P141" i="25"/>
  <c r="P144" i="25" s="1"/>
  <c r="P142" i="25"/>
  <c r="P143" i="25" s="1"/>
  <c r="J65" i="25" l="1"/>
  <c r="J64" i="25"/>
  <c r="J112" i="25" s="1"/>
  <c r="K64" i="25"/>
  <c r="K65" i="25"/>
  <c r="P145" i="25"/>
  <c r="P146" i="25"/>
  <c r="P148" i="25" s="1"/>
  <c r="Q141" i="25"/>
  <c r="Q144" i="25" s="1"/>
  <c r="Q142" i="25"/>
  <c r="Q143" i="25" s="1"/>
  <c r="Q146" i="25" s="1"/>
  <c r="Q148" i="25" s="1"/>
  <c r="K112" i="25" l="1"/>
  <c r="Q149" i="25"/>
  <c r="Q145" i="25"/>
  <c r="P149" i="25"/>
  <c r="R142" i="25"/>
  <c r="R143" i="25" s="1"/>
  <c r="R146" i="25" s="1"/>
  <c r="R148" i="25" s="1"/>
  <c r="R141" i="25"/>
  <c r="R144" i="25" s="1"/>
  <c r="P64" i="25" l="1"/>
  <c r="P112" i="25" s="1"/>
  <c r="P65" i="25"/>
  <c r="Q136" i="25"/>
  <c r="Q64" i="25"/>
  <c r="Q114" i="25" s="1"/>
  <c r="R145" i="25"/>
  <c r="S142" i="25"/>
  <c r="S141" i="25"/>
  <c r="S144" i="25" s="1"/>
  <c r="Q112" i="25" l="1"/>
  <c r="Q65" i="25"/>
  <c r="R149" i="25"/>
  <c r="S143" i="25"/>
  <c r="R64" i="25" l="1"/>
  <c r="R136" i="25"/>
  <c r="S145" i="25"/>
  <c r="S146" i="25"/>
  <c r="S148" i="25" s="1"/>
  <c r="R112" i="25" l="1"/>
  <c r="R114" i="25"/>
  <c r="R65" i="25"/>
  <c r="S149" i="25"/>
  <c r="S136" i="25" l="1"/>
  <c r="S64" i="25"/>
  <c r="S112" i="25" l="1"/>
  <c r="S114" i="25"/>
  <c r="S65" i="25"/>
  <c r="D181" i="25" l="1"/>
  <c r="D183" i="25" s="1"/>
  <c r="D182" i="25" l="1"/>
  <c r="D248" i="25" s="1"/>
  <c r="A138" i="25"/>
  <c r="D249" i="25" l="1"/>
  <c r="D184" i="25"/>
  <c r="E248" i="25"/>
  <c r="D288" i="25" l="1"/>
  <c r="D289" i="25" s="1"/>
  <c r="D253" i="25"/>
  <c r="E246" i="25"/>
  <c r="D246" i="25"/>
  <c r="E247" i="25" l="1"/>
  <c r="F248" i="25"/>
  <c r="G248" i="25"/>
  <c r="G249" i="25" s="1"/>
  <c r="D134" i="25"/>
  <c r="F246" i="25" l="1"/>
  <c r="H248" i="25"/>
  <c r="H249" i="25" s="1"/>
  <c r="G246" i="25"/>
  <c r="H444" i="25"/>
  <c r="D444" i="25"/>
  <c r="H443" i="25"/>
  <c r="D443" i="25"/>
  <c r="H442" i="25"/>
  <c r="D442" i="25"/>
  <c r="H441" i="25"/>
  <c r="D441" i="25"/>
  <c r="H440" i="25"/>
  <c r="D440" i="25"/>
  <c r="H439" i="25"/>
  <c r="D439" i="25"/>
  <c r="H438" i="25"/>
  <c r="D438" i="25"/>
  <c r="H437" i="25"/>
  <c r="D437" i="25"/>
  <c r="H436" i="25"/>
  <c r="D436" i="25"/>
  <c r="H435" i="25"/>
  <c r="D435" i="25"/>
  <c r="H434" i="25"/>
  <c r="D434" i="25"/>
  <c r="H433" i="25"/>
  <c r="D433" i="25"/>
  <c r="H432" i="25"/>
  <c r="D432" i="25"/>
  <c r="H431" i="25"/>
  <c r="D431" i="25"/>
  <c r="H430" i="25"/>
  <c r="D430" i="25"/>
  <c r="H429" i="25"/>
  <c r="D429" i="25"/>
  <c r="H428" i="25"/>
  <c r="D428" i="25"/>
  <c r="H427" i="25"/>
  <c r="D427" i="25"/>
  <c r="H426" i="25"/>
  <c r="D426" i="25"/>
  <c r="H425" i="25"/>
  <c r="D425" i="25"/>
  <c r="H424" i="25"/>
  <c r="D424" i="25"/>
  <c r="H423" i="25"/>
  <c r="D423" i="25"/>
  <c r="H422" i="25"/>
  <c r="D422" i="25"/>
  <c r="H421" i="25"/>
  <c r="D421" i="25"/>
  <c r="H420" i="25"/>
  <c r="D420" i="25"/>
  <c r="H419" i="25"/>
  <c r="D419" i="25"/>
  <c r="H418" i="25"/>
  <c r="D418" i="25"/>
  <c r="H417" i="25"/>
  <c r="D417" i="25"/>
  <c r="H416" i="25"/>
  <c r="D416" i="25"/>
  <c r="H415" i="25"/>
  <c r="D415" i="25"/>
  <c r="H414" i="25"/>
  <c r="D414" i="25"/>
  <c r="H413" i="25"/>
  <c r="D413" i="25"/>
  <c r="H412" i="25"/>
  <c r="D412" i="25"/>
  <c r="H411" i="25"/>
  <c r="D411" i="25"/>
  <c r="H410" i="25"/>
  <c r="D410" i="25"/>
  <c r="H409" i="25"/>
  <c r="D409" i="25"/>
  <c r="H408" i="25"/>
  <c r="D408" i="25"/>
  <c r="H407" i="25"/>
  <c r="D407" i="25"/>
  <c r="H406" i="25"/>
  <c r="D406" i="25"/>
  <c r="H405" i="25"/>
  <c r="D405" i="25"/>
  <c r="H404" i="25"/>
  <c r="D404" i="25"/>
  <c r="H403" i="25"/>
  <c r="D403" i="25"/>
  <c r="H402" i="25"/>
  <c r="D402" i="25"/>
  <c r="H401" i="25"/>
  <c r="D401" i="25"/>
  <c r="H400" i="25"/>
  <c r="D400" i="25"/>
  <c r="H399" i="25"/>
  <c r="D399" i="25"/>
  <c r="G247" i="25" l="1"/>
  <c r="F247" i="25"/>
  <c r="I246" i="25"/>
  <c r="I248" i="25"/>
  <c r="H246" i="25"/>
  <c r="J248" i="25"/>
  <c r="H134" i="25"/>
  <c r="H447" i="25"/>
  <c r="H398" i="25" s="1"/>
  <c r="D398" i="25"/>
  <c r="H247" i="25" l="1"/>
  <c r="I247" i="25"/>
  <c r="J246" i="25"/>
  <c r="K248" i="25"/>
  <c r="K249" i="25" s="1"/>
  <c r="M142" i="25"/>
  <c r="M143" i="25" s="1"/>
  <c r="M141" i="25"/>
  <c r="M144" i="25" s="1"/>
  <c r="D28" i="25"/>
  <c r="D22" i="25"/>
  <c r="H28" i="25"/>
  <c r="H22" i="25"/>
  <c r="M28" i="25"/>
  <c r="M22" i="25"/>
  <c r="J247" i="25" l="1"/>
  <c r="L248" i="25"/>
  <c r="M145" i="25"/>
  <c r="M146" i="25"/>
  <c r="M148" i="25" s="1"/>
  <c r="D173" i="25"/>
  <c r="N248" i="25" l="1"/>
  <c r="K246" i="25"/>
  <c r="M248" i="25"/>
  <c r="M249" i="25" s="1"/>
  <c r="L246" i="25"/>
  <c r="L247" i="25" s="1"/>
  <c r="M149" i="25"/>
  <c r="N246" i="25" l="1"/>
  <c r="K247" i="25"/>
  <c r="O248" i="25"/>
  <c r="O249" i="25" s="1"/>
  <c r="M246" i="25"/>
  <c r="M64" i="25"/>
  <c r="M112" i="25" s="1"/>
  <c r="M65" i="25"/>
  <c r="H142" i="25"/>
  <c r="H143" i="25" s="1"/>
  <c r="H146" i="25" s="1"/>
  <c r="H148" i="25" s="1"/>
  <c r="H141" i="25"/>
  <c r="H144" i="25" s="1"/>
  <c r="M247" i="25" l="1"/>
  <c r="N247" i="25"/>
  <c r="P248" i="25"/>
  <c r="O246" i="25"/>
  <c r="H145" i="25"/>
  <c r="H149" i="25"/>
  <c r="U28" i="25"/>
  <c r="U22" i="25"/>
  <c r="O247" i="25" l="1"/>
  <c r="Q248" i="25"/>
  <c r="Q249" i="25" s="1"/>
  <c r="P246" i="25"/>
  <c r="H64" i="25"/>
  <c r="H112" i="25" s="1"/>
  <c r="H65" i="25"/>
  <c r="U142" i="25"/>
  <c r="U143" i="25" s="1"/>
  <c r="U141" i="25"/>
  <c r="U144" i="25" s="1"/>
  <c r="P247" i="25" l="1"/>
  <c r="Q246" i="25"/>
  <c r="R248" i="25"/>
  <c r="R249" i="25" s="1"/>
  <c r="U145" i="25"/>
  <c r="U146" i="25"/>
  <c r="D144" i="25"/>
  <c r="D142" i="25"/>
  <c r="Q247" i="25" l="1"/>
  <c r="R246" i="25"/>
  <c r="U148" i="25"/>
  <c r="D143" i="25"/>
  <c r="D146" i="25" s="1"/>
  <c r="D148" i="25" s="1"/>
  <c r="L137" i="25" l="1"/>
  <c r="R247" i="25"/>
  <c r="T246" i="25"/>
  <c r="T247" i="25" s="1"/>
  <c r="T248" i="25"/>
  <c r="U248" i="25"/>
  <c r="S248" i="25"/>
  <c r="U149" i="25"/>
  <c r="D149" i="25"/>
  <c r="D145" i="25"/>
  <c r="D86" i="25" l="1"/>
  <c r="M86" i="25"/>
  <c r="K86" i="25"/>
  <c r="T86" i="25"/>
  <c r="U86" i="25"/>
  <c r="H86" i="25"/>
  <c r="S86" i="25"/>
  <c r="E86" i="25"/>
  <c r="D84" i="25"/>
  <c r="L86" i="25"/>
  <c r="J86" i="25"/>
  <c r="F86" i="25"/>
  <c r="I86" i="25"/>
  <c r="G86" i="25"/>
  <c r="Q86" i="25"/>
  <c r="O86" i="25"/>
  <c r="D85" i="25"/>
  <c r="R86" i="25"/>
  <c r="P86" i="25"/>
  <c r="N86" i="25"/>
  <c r="N73" i="25"/>
  <c r="N81" i="25"/>
  <c r="N78" i="25"/>
  <c r="N79" i="25"/>
  <c r="N77" i="25"/>
  <c r="N72" i="25"/>
  <c r="N74" i="25"/>
  <c r="N69" i="25"/>
  <c r="N84" i="25"/>
  <c r="N83" i="25"/>
  <c r="N85" i="25"/>
  <c r="N80" i="25"/>
  <c r="N75" i="25"/>
  <c r="N70" i="25"/>
  <c r="N76" i="25"/>
  <c r="N71" i="25"/>
  <c r="N82" i="25"/>
  <c r="E83" i="25"/>
  <c r="K84" i="25"/>
  <c r="R85" i="25"/>
  <c r="Q85" i="25"/>
  <c r="L83" i="25"/>
  <c r="T83" i="25"/>
  <c r="S72" i="25"/>
  <c r="O76" i="25"/>
  <c r="J80" i="25"/>
  <c r="J69" i="25"/>
  <c r="O81" i="25"/>
  <c r="G82" i="25"/>
  <c r="J73" i="25"/>
  <c r="F77" i="25"/>
  <c r="T80" i="25"/>
  <c r="O80" i="25"/>
  <c r="D83" i="25"/>
  <c r="R80" i="25"/>
  <c r="Q76" i="25"/>
  <c r="L80" i="25"/>
  <c r="G78" i="25"/>
  <c r="E72" i="25"/>
  <c r="S75" i="25"/>
  <c r="D81" i="25"/>
  <c r="S77" i="25"/>
  <c r="D77" i="25"/>
  <c r="O72" i="25"/>
  <c r="J76" i="25"/>
  <c r="F80" i="25"/>
  <c r="I80" i="25"/>
  <c r="P73" i="25"/>
  <c r="I79" i="25"/>
  <c r="R78" i="25"/>
  <c r="E73" i="25"/>
  <c r="L82" i="25"/>
  <c r="F74" i="25"/>
  <c r="F83" i="25"/>
  <c r="L84" i="25"/>
  <c r="T85" i="25"/>
  <c r="I85" i="25"/>
  <c r="J83" i="25"/>
  <c r="I73" i="25"/>
  <c r="E77" i="25"/>
  <c r="S80" i="25"/>
  <c r="E70" i="25"/>
  <c r="S73" i="25"/>
  <c r="O77" i="25"/>
  <c r="J81" i="25"/>
  <c r="S78" i="25"/>
  <c r="F69" i="25"/>
  <c r="K73" i="25"/>
  <c r="G77" i="25"/>
  <c r="O79" i="25"/>
  <c r="K76" i="25"/>
  <c r="E76" i="25"/>
  <c r="I76" i="25"/>
  <c r="J79" i="25"/>
  <c r="S76" i="25"/>
  <c r="J70" i="25"/>
  <c r="P81" i="25"/>
  <c r="E84" i="25"/>
  <c r="O83" i="25"/>
  <c r="G83" i="25"/>
  <c r="K85" i="25"/>
  <c r="S83" i="25"/>
  <c r="D70" i="25"/>
  <c r="R73" i="25"/>
  <c r="I81" i="25"/>
  <c r="T69" i="25"/>
  <c r="J78" i="25"/>
  <c r="I74" i="25"/>
  <c r="E78" i="25"/>
  <c r="S81" i="25"/>
  <c r="R70" i="25"/>
  <c r="F70" i="25"/>
  <c r="T73" i="25"/>
  <c r="P77" i="25"/>
  <c r="K81" i="25"/>
  <c r="I78" i="25"/>
  <c r="K78" i="25"/>
  <c r="D73" i="25"/>
  <c r="R76" i="25"/>
  <c r="T82" i="25"/>
  <c r="P80" i="25"/>
  <c r="P82" i="25"/>
  <c r="I77" i="25"/>
  <c r="O73" i="25"/>
  <c r="S70" i="25"/>
  <c r="O74" i="25"/>
  <c r="J71" i="25"/>
  <c r="L73" i="25"/>
  <c r="D82" i="25"/>
  <c r="L69" i="25"/>
  <c r="D74" i="25"/>
  <c r="P74" i="25"/>
  <c r="T72" i="25"/>
  <c r="Q71" i="25"/>
  <c r="F75" i="25"/>
  <c r="F84" i="25"/>
  <c r="P83" i="25"/>
  <c r="L85" i="25"/>
  <c r="J84" i="25"/>
  <c r="L70" i="25"/>
  <c r="D78" i="25"/>
  <c r="R81" i="25"/>
  <c r="G81" i="25"/>
  <c r="D71" i="25"/>
  <c r="R74" i="25"/>
  <c r="I82" i="25"/>
  <c r="F73" i="25"/>
  <c r="F82" i="25"/>
  <c r="O70" i="25"/>
  <c r="J74" i="25"/>
  <c r="F78" i="25"/>
  <c r="T81" i="25"/>
  <c r="L81" i="25"/>
  <c r="E82" i="25"/>
  <c r="Q81" i="25"/>
  <c r="R77" i="25"/>
  <c r="G80" i="25"/>
  <c r="I71" i="25"/>
  <c r="E75" i="25"/>
  <c r="K83" i="25"/>
  <c r="T79" i="25"/>
  <c r="T78" i="25"/>
  <c r="S69" i="25"/>
  <c r="S87" i="25" s="1"/>
  <c r="L72" i="25"/>
  <c r="J75" i="25"/>
  <c r="T75" i="25"/>
  <c r="E85" i="25"/>
  <c r="O84" i="25"/>
  <c r="G84" i="25"/>
  <c r="Q83" i="25"/>
  <c r="I83" i="25"/>
  <c r="S84" i="25"/>
  <c r="Q74" i="25"/>
  <c r="L78" i="25"/>
  <c r="P72" i="25"/>
  <c r="K70" i="25"/>
  <c r="L71" i="25"/>
  <c r="D79" i="25"/>
  <c r="R82" i="25"/>
  <c r="L75" i="25"/>
  <c r="E71" i="25"/>
  <c r="S74" i="25"/>
  <c r="O78" i="25"/>
  <c r="J82" i="25"/>
  <c r="K82" i="25"/>
  <c r="K77" i="25"/>
  <c r="G70" i="25"/>
  <c r="Q77" i="25"/>
  <c r="I70" i="25"/>
  <c r="R79" i="25"/>
  <c r="Q70" i="25"/>
  <c r="L74" i="25"/>
  <c r="R71" i="25"/>
  <c r="L77" i="25"/>
  <c r="Q72" i="25"/>
  <c r="J72" i="25"/>
  <c r="Q79" i="25"/>
  <c r="F81" i="25"/>
  <c r="D80" i="25"/>
  <c r="O71" i="25"/>
  <c r="G74" i="25"/>
  <c r="G73" i="25"/>
  <c r="F85" i="25"/>
  <c r="P84" i="25"/>
  <c r="R83" i="25"/>
  <c r="J85" i="25"/>
  <c r="K71" i="25"/>
  <c r="G75" i="25"/>
  <c r="Q82" i="25"/>
  <c r="D75" i="25"/>
  <c r="Q73" i="25"/>
  <c r="Q75" i="25"/>
  <c r="L79" i="25"/>
  <c r="J77" i="25"/>
  <c r="R72" i="25"/>
  <c r="I75" i="25"/>
  <c r="E79" i="25"/>
  <c r="S82" i="25"/>
  <c r="E81" i="25"/>
  <c r="Q80" i="25"/>
  <c r="P70" i="25"/>
  <c r="K74" i="25"/>
  <c r="P78" i="25"/>
  <c r="G72" i="25"/>
  <c r="O82" i="25"/>
  <c r="G71" i="25"/>
  <c r="Q78" i="25"/>
  <c r="T77" i="25"/>
  <c r="D76" i="25"/>
  <c r="S79" i="25"/>
  <c r="I72" i="25"/>
  <c r="L76" i="25"/>
  <c r="P85" i="25"/>
  <c r="K80" i="25"/>
  <c r="S71" i="25"/>
  <c r="F72" i="25"/>
  <c r="O69" i="25"/>
  <c r="O85" i="25"/>
  <c r="G85" i="25"/>
  <c r="Q84" i="25"/>
  <c r="I84" i="25"/>
  <c r="S85" i="25"/>
  <c r="T71" i="25"/>
  <c r="P75" i="25"/>
  <c r="K79" i="25"/>
  <c r="G69" i="25"/>
  <c r="T76" i="25"/>
  <c r="K72" i="25"/>
  <c r="G76" i="25"/>
  <c r="Q69" i="25"/>
  <c r="Q87" i="25" s="1"/>
  <c r="O75" i="25"/>
  <c r="D72" i="25"/>
  <c r="R75" i="25"/>
  <c r="I69" i="25"/>
  <c r="K69" i="25"/>
  <c r="E69" i="25"/>
  <c r="F71" i="25"/>
  <c r="T74" i="25"/>
  <c r="F79" i="25"/>
  <c r="E74" i="25"/>
  <c r="T70" i="25"/>
  <c r="P71" i="25"/>
  <c r="K75" i="25"/>
  <c r="G79" i="25"/>
  <c r="R84" i="25"/>
  <c r="F76" i="25"/>
  <c r="P69" i="25"/>
  <c r="P76" i="25"/>
  <c r="R69" i="25"/>
  <c r="R87" i="25" s="1"/>
  <c r="E80" i="25"/>
  <c r="P79" i="25"/>
  <c r="T84" i="25"/>
  <c r="M74" i="25"/>
  <c r="M84" i="25"/>
  <c r="M79" i="25"/>
  <c r="M83" i="25"/>
  <c r="M78" i="25"/>
  <c r="M81" i="25"/>
  <c r="M69" i="25"/>
  <c r="M72" i="25"/>
  <c r="M77" i="25"/>
  <c r="M75" i="25"/>
  <c r="M71" i="25"/>
  <c r="M73" i="25"/>
  <c r="M76" i="25"/>
  <c r="M82" i="25"/>
  <c r="M70" i="25"/>
  <c r="M85" i="25"/>
  <c r="M80" i="25"/>
  <c r="H73" i="25"/>
  <c r="H75" i="25"/>
  <c r="H76" i="25"/>
  <c r="H80" i="25"/>
  <c r="H78" i="25"/>
  <c r="H77" i="25"/>
  <c r="H81" i="25"/>
  <c r="H79" i="25"/>
  <c r="H85" i="25"/>
  <c r="H70" i="25"/>
  <c r="H84" i="25"/>
  <c r="H83" i="25"/>
  <c r="H69" i="25"/>
  <c r="H74" i="25"/>
  <c r="H72" i="25"/>
  <c r="H82" i="25"/>
  <c r="H71" i="25"/>
  <c r="U84" i="25"/>
  <c r="U72" i="25"/>
  <c r="U81" i="25"/>
  <c r="U83" i="25"/>
  <c r="U69" i="25"/>
  <c r="U87" i="25" s="1"/>
  <c r="U82" i="25"/>
  <c r="U80" i="25"/>
  <c r="U85" i="25"/>
  <c r="U75" i="25"/>
  <c r="U76" i="25"/>
  <c r="U70" i="25"/>
  <c r="U73" i="25"/>
  <c r="U78" i="25"/>
  <c r="U71" i="25"/>
  <c r="U74" i="25"/>
  <c r="U79" i="25"/>
  <c r="U77" i="25"/>
  <c r="U246" i="25"/>
  <c r="S246" i="25"/>
  <c r="U136" i="25"/>
  <c r="L133" i="25"/>
  <c r="L163" i="25" s="1"/>
  <c r="D69" i="25"/>
  <c r="U64" i="25"/>
  <c r="U65" i="25" s="1"/>
  <c r="D64" i="25"/>
  <c r="D112" i="25" s="1"/>
  <c r="U247" i="25" l="1"/>
  <c r="S247" i="25"/>
  <c r="T87" i="25"/>
  <c r="U112" i="25"/>
  <c r="U114" i="25"/>
  <c r="D65" i="25" l="1"/>
  <c r="D247" i="25" l="1"/>
  <c r="D201" i="25" l="1"/>
  <c r="D256" i="25" l="1"/>
  <c r="D200" i="25"/>
  <c r="D251" i="25" s="1"/>
  <c r="D262" i="25" s="1"/>
  <c r="T201" i="25" l="1"/>
  <c r="T256" i="25" l="1"/>
  <c r="T200" i="25"/>
  <c r="T251" i="25" s="1"/>
  <c r="L201" i="25" l="1"/>
  <c r="O201" i="25"/>
  <c r="O262" i="25"/>
  <c r="G201" i="25"/>
  <c r="G200" i="25" s="1"/>
  <c r="G251" i="25" s="1"/>
  <c r="G262" i="25"/>
  <c r="Q201" i="25"/>
  <c r="E201" i="25"/>
  <c r="E200" i="25" s="1"/>
  <c r="E251" i="25" s="1"/>
  <c r="E262" i="25"/>
  <c r="M200" i="25"/>
  <c r="M251" i="25"/>
  <c r="M201" i="25"/>
  <c r="M262" i="25"/>
  <c r="H201" i="25"/>
  <c r="H200" i="25" s="1"/>
  <c r="H256" i="25"/>
  <c r="F201" i="25"/>
  <c r="N201" i="25"/>
  <c r="N200" i="25" s="1"/>
  <c r="N251" i="25" s="1"/>
  <c r="P201" i="25"/>
  <c r="P200" i="25" s="1"/>
  <c r="P251" i="25" s="1"/>
  <c r="G256" i="25"/>
  <c r="E256" i="25"/>
  <c r="K200" i="25"/>
  <c r="K251" i="25" s="1"/>
  <c r="K201" i="25"/>
  <c r="K262" i="25"/>
  <c r="U201" i="25"/>
  <c r="U200" i="25" s="1"/>
  <c r="U251" i="25" s="1"/>
  <c r="U256" i="25"/>
  <c r="M256" i="25"/>
  <c r="S200" i="25"/>
  <c r="S251" i="25"/>
  <c r="R201" i="25"/>
  <c r="R200" i="25" s="1"/>
  <c r="R251" i="25" s="1"/>
  <c r="R262" i="25"/>
  <c r="J201" i="25"/>
  <c r="J200" i="25" s="1"/>
  <c r="J251" i="25" s="1"/>
  <c r="K256" i="25"/>
  <c r="I201" i="25"/>
  <c r="I200" i="25" s="1"/>
  <c r="I251" i="25" s="1"/>
  <c r="I262" i="25"/>
  <c r="S201" i="25"/>
  <c r="S256" i="25"/>
  <c r="P262" i="25"/>
  <c r="H251" i="25"/>
  <c r="H262" i="25"/>
  <c r="R256" i="25"/>
  <c r="I256" i="25"/>
  <c r="D113" i="25"/>
  <c r="D114" i="25" s="1"/>
  <c r="E113" i="25"/>
  <c r="F113" i="25"/>
  <c r="G113" i="25"/>
  <c r="H113" i="25"/>
  <c r="I113" i="25"/>
  <c r="J113" i="25"/>
  <c r="K113" i="25"/>
  <c r="L113" i="25"/>
  <c r="M113" i="25"/>
  <c r="N113" i="25"/>
  <c r="O113" i="25"/>
  <c r="P113" i="25"/>
  <c r="P114" i="25" s="1"/>
  <c r="Q113" i="25"/>
  <c r="Q50" i="25" s="1"/>
  <c r="Q51" i="25" s="1"/>
  <c r="Q153" i="25" s="1"/>
  <c r="Q158" i="25" s="1"/>
  <c r="Q159" i="25" s="1"/>
  <c r="Q160" i="25" s="1"/>
  <c r="R113" i="25"/>
  <c r="S113" i="25"/>
  <c r="S50" i="25" s="1"/>
  <c r="S51" i="25" s="1"/>
  <c r="S153" i="25" s="1"/>
  <c r="S158" i="25" s="1"/>
  <c r="T113" i="25"/>
  <c r="U113" i="25"/>
  <c r="U50" i="25" s="1"/>
  <c r="U51" i="25" s="1"/>
  <c r="U153" i="25" s="1"/>
  <c r="U158" i="25" s="1"/>
  <c r="U159" i="25" s="1"/>
  <c r="U160" i="25" s="1"/>
  <c r="E114" i="25"/>
  <c r="K114" i="25"/>
  <c r="L114" i="25"/>
  <c r="M114" i="25"/>
  <c r="M285" i="25" s="1"/>
  <c r="E115" i="25"/>
  <c r="E58" i="25" s="1"/>
  <c r="E59" i="25" s="1"/>
  <c r="E155" i="25" s="1"/>
  <c r="F115" i="25"/>
  <c r="F58" i="25" s="1"/>
  <c r="F59" i="25" s="1"/>
  <c r="F155" i="25" s="1"/>
  <c r="G115" i="25"/>
  <c r="G58" i="25" s="1"/>
  <c r="G59" i="25" s="1"/>
  <c r="G155" i="25" s="1"/>
  <c r="H115" i="25"/>
  <c r="H58" i="25" s="1"/>
  <c r="H59" i="25" s="1"/>
  <c r="H155" i="25" s="1"/>
  <c r="H157" i="25" s="1"/>
  <c r="I115" i="25"/>
  <c r="I58" i="25" s="1"/>
  <c r="I59" i="25" s="1"/>
  <c r="I155" i="25" s="1"/>
  <c r="I157" i="25" s="1"/>
  <c r="K115" i="25"/>
  <c r="K58" i="25" s="1"/>
  <c r="K59" i="25" s="1"/>
  <c r="K155" i="25" s="1"/>
  <c r="M115" i="25"/>
  <c r="M58" i="25" s="1"/>
  <c r="M59" i="25" s="1"/>
  <c r="M155" i="25" s="1"/>
  <c r="N115" i="25"/>
  <c r="N58" i="25" s="1"/>
  <c r="N59" i="25" s="1"/>
  <c r="N155" i="25" s="1"/>
  <c r="O115" i="25"/>
  <c r="O58" i="25" s="1"/>
  <c r="O59" i="25" s="1"/>
  <c r="O155" i="25" s="1"/>
  <c r="P115" i="25"/>
  <c r="S115" i="25"/>
  <c r="S58" i="25" s="1"/>
  <c r="S59" i="25" s="1"/>
  <c r="S155" i="25" s="1"/>
  <c r="S157" i="25" s="1"/>
  <c r="U115" i="25"/>
  <c r="U58" i="25" s="1"/>
  <c r="U59" i="25" s="1"/>
  <c r="U155" i="25" s="1"/>
  <c r="G157" i="25"/>
  <c r="S159" i="25"/>
  <c r="S160" i="25" s="1"/>
  <c r="S161" i="25"/>
  <c r="D170" i="25" a="1"/>
  <c r="D170" i="25" s="1"/>
  <c r="D177" i="25" a="1"/>
  <c r="D177" i="25" s="1"/>
  <c r="D186" i="25"/>
  <c r="H186" i="25"/>
  <c r="M186" i="25"/>
  <c r="Q186" i="25"/>
  <c r="E187" i="25"/>
  <c r="I187" i="25"/>
  <c r="N187" i="25"/>
  <c r="F188" i="25"/>
  <c r="P188" i="25"/>
  <c r="K189" i="25"/>
  <c r="O189" i="25"/>
  <c r="T190" i="25"/>
  <c r="C190" i="25" s="1"/>
  <c r="L191" i="25"/>
  <c r="U191" i="25"/>
  <c r="S192" i="25"/>
  <c r="D227" i="25"/>
  <c r="F227" i="25"/>
  <c r="G227" i="25"/>
  <c r="H227" i="25"/>
  <c r="J227" i="25"/>
  <c r="K227" i="25"/>
  <c r="L227" i="25"/>
  <c r="N227" i="25"/>
  <c r="O227" i="25"/>
  <c r="P227" i="25"/>
  <c r="R227" i="25"/>
  <c r="S227" i="25"/>
  <c r="T227" i="25"/>
  <c r="D234" i="25"/>
  <c r="E234" i="25"/>
  <c r="F234" i="25"/>
  <c r="G234" i="25"/>
  <c r="H234" i="25"/>
  <c r="I234" i="25"/>
  <c r="J234" i="25"/>
  <c r="K234" i="25"/>
  <c r="L234" i="25"/>
  <c r="M234" i="25"/>
  <c r="N234" i="25"/>
  <c r="O234" i="25"/>
  <c r="P234" i="25"/>
  <c r="Q234" i="25"/>
  <c r="R234" i="25"/>
  <c r="S234" i="25"/>
  <c r="T234" i="25"/>
  <c r="U234" i="25"/>
  <c r="D257" i="25"/>
  <c r="E257" i="25"/>
  <c r="G257" i="25"/>
  <c r="G265" i="25" s="1"/>
  <c r="H257" i="25"/>
  <c r="H265" i="25" s="1"/>
  <c r="I257" i="25"/>
  <c r="I265" i="25" s="1"/>
  <c r="K257" i="25"/>
  <c r="K265" i="25" s="1"/>
  <c r="M257" i="25"/>
  <c r="M265" i="25" s="1"/>
  <c r="S257" i="25"/>
  <c r="S265" i="25" s="1"/>
  <c r="T257" i="25"/>
  <c r="U257" i="25"/>
  <c r="D258" i="25"/>
  <c r="E258" i="25"/>
  <c r="K258" i="25"/>
  <c r="Q258" i="25"/>
  <c r="R258" i="25"/>
  <c r="S258" i="25"/>
  <c r="T258" i="25"/>
  <c r="U258" i="25"/>
  <c r="D259" i="25"/>
  <c r="E259" i="25"/>
  <c r="K259" i="25"/>
  <c r="Q259" i="25"/>
  <c r="R259" i="25"/>
  <c r="S259" i="25"/>
  <c r="T259" i="25"/>
  <c r="U259" i="25"/>
  <c r="D260" i="25"/>
  <c r="D267" i="25" s="1"/>
  <c r="H260" i="25"/>
  <c r="H267" i="25" s="1"/>
  <c r="M260" i="25"/>
  <c r="M267" i="25" s="1"/>
  <c r="Q260" i="25"/>
  <c r="Q267" i="25" s="1"/>
  <c r="G261" i="25"/>
  <c r="K261" i="25"/>
  <c r="O261" i="25"/>
  <c r="D263" i="25"/>
  <c r="E263" i="25"/>
  <c r="E269" i="25" s="1"/>
  <c r="F263" i="25"/>
  <c r="G263" i="25"/>
  <c r="H263" i="25"/>
  <c r="I263" i="25"/>
  <c r="I269" i="25" s="1"/>
  <c r="J263" i="25"/>
  <c r="K263" i="25"/>
  <c r="K269" i="25" s="1"/>
  <c r="L263" i="25"/>
  <c r="M263" i="25"/>
  <c r="N263" i="25"/>
  <c r="O263" i="25"/>
  <c r="P263" i="25"/>
  <c r="Q263" i="25"/>
  <c r="R263" i="25"/>
  <c r="S263" i="25"/>
  <c r="S269" i="25" s="1"/>
  <c r="T263" i="25"/>
  <c r="U263" i="25"/>
  <c r="D264" i="25"/>
  <c r="E264" i="25"/>
  <c r="G264" i="25"/>
  <c r="H264" i="25"/>
  <c r="I264" i="25"/>
  <c r="K264" i="25"/>
  <c r="M264" i="25"/>
  <c r="R264" i="25"/>
  <c r="S264" i="25"/>
  <c r="T264" i="25"/>
  <c r="U264" i="25"/>
  <c r="D265" i="25"/>
  <c r="E265" i="25"/>
  <c r="T265" i="25"/>
  <c r="U265" i="25"/>
  <c r="K266" i="25"/>
  <c r="T266" i="25"/>
  <c r="G267" i="25"/>
  <c r="K267" i="25"/>
  <c r="O267" i="25"/>
  <c r="D268" i="25"/>
  <c r="E268" i="25"/>
  <c r="G268" i="25"/>
  <c r="H268" i="25"/>
  <c r="I268" i="25"/>
  <c r="K268" i="25"/>
  <c r="L268" i="25"/>
  <c r="M268" i="25"/>
  <c r="O268" i="25"/>
  <c r="P268" i="25"/>
  <c r="R268" i="25"/>
  <c r="S268" i="25"/>
  <c r="T268" i="25"/>
  <c r="U268" i="25"/>
  <c r="D269" i="25"/>
  <c r="F269" i="25"/>
  <c r="G269" i="25"/>
  <c r="H269" i="25"/>
  <c r="J269" i="25"/>
  <c r="L269" i="25"/>
  <c r="M269" i="25"/>
  <c r="N269" i="25"/>
  <c r="O269" i="25"/>
  <c r="P269" i="25"/>
  <c r="Q269" i="25"/>
  <c r="R269" i="25"/>
  <c r="T269" i="25"/>
  <c r="U269" i="25"/>
  <c r="D283" i="25" a="1"/>
  <c r="D283" i="25"/>
  <c r="D285" i="25"/>
  <c r="E285" i="25"/>
  <c r="K285" i="25"/>
  <c r="Q285" i="25"/>
  <c r="R285" i="25"/>
  <c r="S285" i="25"/>
  <c r="T285" i="25"/>
  <c r="U285" i="25"/>
  <c r="D286" i="25"/>
  <c r="E286" i="25"/>
  <c r="K286" i="25"/>
  <c r="Q286" i="25"/>
  <c r="R286" i="25"/>
  <c r="S286" i="25"/>
  <c r="T286" i="25"/>
  <c r="U286" i="25"/>
  <c r="D291" i="25" a="1"/>
  <c r="D291" i="25" s="1"/>
  <c r="D296" i="25"/>
  <c r="D299" i="25"/>
  <c r="D348" i="25" s="1"/>
  <c r="E299" i="25"/>
  <c r="F299" i="25"/>
  <c r="G299" i="25"/>
  <c r="H299" i="25"/>
  <c r="H348" i="25" s="1"/>
  <c r="I299" i="25"/>
  <c r="I300" i="25" s="1"/>
  <c r="K299" i="25"/>
  <c r="D300" i="25"/>
  <c r="D349" i="25" s="1"/>
  <c r="E300" i="25"/>
  <c r="F300" i="25"/>
  <c r="G300" i="25"/>
  <c r="H300" i="25"/>
  <c r="K300" i="25"/>
  <c r="D301" i="25"/>
  <c r="D350" i="25" s="1"/>
  <c r="E301" i="25"/>
  <c r="F301" i="25"/>
  <c r="G301" i="25"/>
  <c r="H301" i="25"/>
  <c r="K301" i="25"/>
  <c r="D302" i="25"/>
  <c r="D351" i="25" s="1"/>
  <c r="E302" i="25"/>
  <c r="F302" i="25"/>
  <c r="G302" i="25"/>
  <c r="H302" i="25"/>
  <c r="K302" i="25"/>
  <c r="D303" i="25"/>
  <c r="D352" i="25" s="1"/>
  <c r="E303" i="25"/>
  <c r="F303" i="25"/>
  <c r="G303" i="25"/>
  <c r="H303" i="25"/>
  <c r="H352" i="25" s="1"/>
  <c r="K303" i="25"/>
  <c r="D304" i="25"/>
  <c r="D353" i="25" s="1"/>
  <c r="E304" i="25"/>
  <c r="F304" i="25"/>
  <c r="G304" i="25"/>
  <c r="H304" i="25"/>
  <c r="K304" i="25"/>
  <c r="D305" i="25"/>
  <c r="D354" i="25" s="1"/>
  <c r="E305" i="25"/>
  <c r="F305" i="25"/>
  <c r="G305" i="25"/>
  <c r="H305" i="25"/>
  <c r="K305" i="25"/>
  <c r="D306" i="25"/>
  <c r="D355" i="25" s="1"/>
  <c r="E306" i="25"/>
  <c r="F306" i="25"/>
  <c r="G306" i="25"/>
  <c r="G307" i="25" s="1"/>
  <c r="H306" i="25"/>
  <c r="H307" i="25" s="1"/>
  <c r="K306" i="25"/>
  <c r="E307" i="25"/>
  <c r="E308" i="25" s="1"/>
  <c r="F307" i="25"/>
  <c r="K307" i="25"/>
  <c r="F308" i="25"/>
  <c r="F309" i="25" s="1"/>
  <c r="K308" i="25"/>
  <c r="K309" i="25" s="1"/>
  <c r="K310" i="25" s="1"/>
  <c r="E348" i="25"/>
  <c r="F348" i="25"/>
  <c r="G348" i="25"/>
  <c r="I348" i="25"/>
  <c r="K348" i="25"/>
  <c r="E349" i="25"/>
  <c r="F349" i="25"/>
  <c r="G349" i="25"/>
  <c r="H349" i="25"/>
  <c r="K349" i="25"/>
  <c r="E350" i="25"/>
  <c r="F350" i="25"/>
  <c r="G350" i="25"/>
  <c r="H350" i="25"/>
  <c r="K350" i="25"/>
  <c r="E351" i="25"/>
  <c r="F351" i="25"/>
  <c r="G351" i="25"/>
  <c r="H351" i="25"/>
  <c r="K351" i="25"/>
  <c r="E352" i="25"/>
  <c r="F352" i="25"/>
  <c r="G352" i="25"/>
  <c r="K352" i="25"/>
  <c r="E353" i="25"/>
  <c r="F353" i="25"/>
  <c r="G353" i="25"/>
  <c r="H353" i="25"/>
  <c r="K353" i="25"/>
  <c r="E354" i="25"/>
  <c r="F354" i="25"/>
  <c r="G354" i="25"/>
  <c r="H354" i="25"/>
  <c r="K354" i="25"/>
  <c r="E355" i="25"/>
  <c r="F355" i="25"/>
  <c r="G355" i="25"/>
  <c r="H355" i="25"/>
  <c r="K355" i="25"/>
  <c r="E356" i="25"/>
  <c r="F356" i="25"/>
  <c r="K356" i="25"/>
  <c r="F357" i="25"/>
  <c r="K357" i="25"/>
  <c r="U266" i="25" l="1"/>
  <c r="Q161" i="25"/>
  <c r="Q162" i="25" s="1"/>
  <c r="Q164" i="25" s="1"/>
  <c r="Q166" i="25" s="1"/>
  <c r="Q168" i="25" s="1"/>
  <c r="Q169" i="25" s="1"/>
  <c r="Q174" i="25" s="1"/>
  <c r="Q115" i="25"/>
  <c r="Q58" i="25" s="1"/>
  <c r="Q59" i="25" s="1"/>
  <c r="Q155" i="25" s="1"/>
  <c r="M136" i="25"/>
  <c r="C187" i="25"/>
  <c r="P231" i="25" s="1"/>
  <c r="I349" i="25"/>
  <c r="I301" i="25"/>
  <c r="E309" i="25"/>
  <c r="E357" i="25"/>
  <c r="R50" i="25"/>
  <c r="R51" i="25" s="1"/>
  <c r="R153" i="25" s="1"/>
  <c r="R158" i="25" s="1"/>
  <c r="R159" i="25" s="1"/>
  <c r="R160" i="25" s="1"/>
  <c r="R257" i="25"/>
  <c r="R265" i="25" s="1"/>
  <c r="J299" i="25"/>
  <c r="J114" i="25"/>
  <c r="J188" i="25"/>
  <c r="C188" i="25" s="1"/>
  <c r="S266" i="25"/>
  <c r="L126" i="25"/>
  <c r="L132" i="25" s="1"/>
  <c r="L286" i="25"/>
  <c r="L258" i="25"/>
  <c r="L285" i="25"/>
  <c r="P259" i="25"/>
  <c r="P266" i="25" s="1"/>
  <c r="P286" i="25"/>
  <c r="P258" i="25"/>
  <c r="P285" i="25"/>
  <c r="F310" i="25"/>
  <c r="F358" i="25"/>
  <c r="G308" i="25"/>
  <c r="G356" i="25"/>
  <c r="J115" i="25"/>
  <c r="J58" i="25" s="1"/>
  <c r="J59" i="25" s="1"/>
  <c r="J155" i="25" s="1"/>
  <c r="J157" i="25" s="1"/>
  <c r="K311" i="25"/>
  <c r="K359" i="25"/>
  <c r="H308" i="25"/>
  <c r="H356" i="25"/>
  <c r="K358" i="25"/>
  <c r="L259" i="25"/>
  <c r="J224" i="25"/>
  <c r="K231" i="25"/>
  <c r="O231" i="25"/>
  <c r="P224" i="25"/>
  <c r="D231" i="25"/>
  <c r="R231" i="25"/>
  <c r="S231" i="25"/>
  <c r="F224" i="25"/>
  <c r="T231" i="25"/>
  <c r="H231" i="25"/>
  <c r="H114" i="25"/>
  <c r="H50" i="25" s="1"/>
  <c r="H51" i="25" s="1"/>
  <c r="C191" i="25"/>
  <c r="J235" i="25" s="1"/>
  <c r="K50" i="25"/>
  <c r="K51" i="25" s="1"/>
  <c r="R115" i="25"/>
  <c r="R58" i="25" s="1"/>
  <c r="R59" i="25" s="1"/>
  <c r="R155" i="25" s="1"/>
  <c r="S270" i="25"/>
  <c r="S272" i="25" s="1"/>
  <c r="N231" i="25"/>
  <c r="E224" i="25"/>
  <c r="E266" i="25"/>
  <c r="E270" i="25" s="1"/>
  <c r="E272" i="25" s="1"/>
  <c r="L231" i="25"/>
  <c r="Q224" i="25"/>
  <c r="D266" i="25"/>
  <c r="D270" i="25" s="1"/>
  <c r="D272" i="25" s="1"/>
  <c r="D273" i="25" s="1"/>
  <c r="T213" i="25" a="1"/>
  <c r="T213" i="25" s="1"/>
  <c r="R189" i="25"/>
  <c r="Q266" i="25"/>
  <c r="P211" i="25" a="1"/>
  <c r="P211" i="25" s="1"/>
  <c r="R261" i="25"/>
  <c r="R267" i="25" s="1"/>
  <c r="I210" i="25" a="1"/>
  <c r="I210" i="25" s="1"/>
  <c r="D307" i="25"/>
  <c r="E210" i="25" a="1"/>
  <c r="E210" i="25" s="1"/>
  <c r="M286" i="25"/>
  <c r="R266" i="25"/>
  <c r="M258" i="25"/>
  <c r="M224" i="25"/>
  <c r="M259" i="25"/>
  <c r="U270" i="25"/>
  <c r="U272" i="25" s="1"/>
  <c r="U273" i="25" s="1"/>
  <c r="S273" i="25"/>
  <c r="K270" i="25"/>
  <c r="K272" i="25" s="1"/>
  <c r="Q232" i="25"/>
  <c r="L225" i="25"/>
  <c r="Q256" i="25"/>
  <c r="Q262" i="25"/>
  <c r="Q268" i="25" s="1"/>
  <c r="Q200" i="25"/>
  <c r="Q251" i="25" s="1"/>
  <c r="M232" i="25"/>
  <c r="J225" i="25"/>
  <c r="S162" i="25"/>
  <c r="S164" i="25" s="1"/>
  <c r="K157" i="25"/>
  <c r="C192" i="25"/>
  <c r="F211" i="25" a="1"/>
  <c r="F211" i="25" s="1"/>
  <c r="P225" i="25"/>
  <c r="J211" i="25" a="1"/>
  <c r="J211" i="25" s="1"/>
  <c r="F157" i="25"/>
  <c r="I225" i="25"/>
  <c r="Q225" i="25"/>
  <c r="E225" i="25"/>
  <c r="M225" i="25"/>
  <c r="U225" i="25"/>
  <c r="G232" i="25"/>
  <c r="N225" i="25"/>
  <c r="E232" i="25"/>
  <c r="N232" i="25"/>
  <c r="D225" i="25"/>
  <c r="O225" i="25"/>
  <c r="F232" i="25"/>
  <c r="O232" i="25"/>
  <c r="F225" i="25"/>
  <c r="H232" i="25"/>
  <c r="P232" i="25"/>
  <c r="G225" i="25"/>
  <c r="R225" i="25"/>
  <c r="H225" i="25"/>
  <c r="S225" i="25"/>
  <c r="J232" i="25"/>
  <c r="R232" i="25"/>
  <c r="K225" i="25"/>
  <c r="L232" i="25"/>
  <c r="T232" i="25"/>
  <c r="T270" i="25"/>
  <c r="T272" i="25" s="1"/>
  <c r="D232" i="25"/>
  <c r="U161" i="25"/>
  <c r="U162" i="25" s="1"/>
  <c r="U164" i="25" s="1"/>
  <c r="U156" i="25"/>
  <c r="U157" i="25"/>
  <c r="K224" i="25"/>
  <c r="S224" i="25"/>
  <c r="E231" i="25"/>
  <c r="M231" i="25"/>
  <c r="U231" i="25"/>
  <c r="G224" i="25"/>
  <c r="O224" i="25"/>
  <c r="I231" i="25"/>
  <c r="Q231" i="25"/>
  <c r="N157" i="25"/>
  <c r="M157" i="25"/>
  <c r="F200" i="25"/>
  <c r="F251" i="25" s="1"/>
  <c r="F256" i="25"/>
  <c r="F262" i="25"/>
  <c r="F268" i="25" s="1"/>
  <c r="E227" i="25"/>
  <c r="M227" i="25"/>
  <c r="U227" i="25"/>
  <c r="I227" i="25"/>
  <c r="Q227" i="25"/>
  <c r="N210" i="25" a="1"/>
  <c r="N210" i="25" s="1"/>
  <c r="C186" i="25"/>
  <c r="M209" i="25" s="1" a="1"/>
  <c r="M209" i="25" s="1"/>
  <c r="P136" i="25"/>
  <c r="P58" i="25"/>
  <c r="P59" i="25" s="1"/>
  <c r="P155" i="25" s="1"/>
  <c r="O114" i="25"/>
  <c r="O136" i="25"/>
  <c r="O50" i="25" s="1"/>
  <c r="O51" i="25" s="1"/>
  <c r="O153" i="25" s="1"/>
  <c r="G114" i="25"/>
  <c r="G50" i="25" s="1"/>
  <c r="G51" i="25" s="1"/>
  <c r="G189" i="25"/>
  <c r="Q156" i="25"/>
  <c r="Q157" i="25"/>
  <c r="O157" i="25"/>
  <c r="R161" i="25"/>
  <c r="R162" i="25" s="1"/>
  <c r="R164" i="25" s="1"/>
  <c r="S156" i="25"/>
  <c r="E157" i="25"/>
  <c r="N114" i="25"/>
  <c r="N50" i="25" s="1"/>
  <c r="N51" i="25" s="1"/>
  <c r="N153" i="25" s="1"/>
  <c r="N136" i="25"/>
  <c r="F114" i="25"/>
  <c r="F50" i="25" s="1"/>
  <c r="F51" i="25" s="1"/>
  <c r="M50" i="25"/>
  <c r="M51" i="25" s="1"/>
  <c r="M153" i="25" s="1"/>
  <c r="M158" i="25" s="1"/>
  <c r="E50" i="25"/>
  <c r="E51" i="25" s="1"/>
  <c r="T50" i="25"/>
  <c r="T51" i="25" s="1"/>
  <c r="T153" i="25" s="1"/>
  <c r="T158" i="25" s="1"/>
  <c r="T115" i="25"/>
  <c r="T58" i="25" s="1"/>
  <c r="T59" i="25" s="1"/>
  <c r="T155" i="25" s="1"/>
  <c r="L50" i="25"/>
  <c r="L51" i="25" s="1"/>
  <c r="L153" i="25" s="1"/>
  <c r="L158" i="25" s="1"/>
  <c r="L115" i="25"/>
  <c r="L58" i="25" s="1"/>
  <c r="L59" i="25" s="1"/>
  <c r="L155" i="25" s="1"/>
  <c r="D50" i="25"/>
  <c r="D51" i="25" s="1"/>
  <c r="D115" i="25"/>
  <c r="D58" i="25" s="1"/>
  <c r="D59" i="25" s="1"/>
  <c r="D155" i="25" s="1"/>
  <c r="O200" i="25"/>
  <c r="O251" i="25" s="1"/>
  <c r="O256" i="25"/>
  <c r="I50" i="25"/>
  <c r="I51" i="25" s="1"/>
  <c r="J256" i="25"/>
  <c r="J262" i="25"/>
  <c r="J268" i="25" s="1"/>
  <c r="N256" i="25"/>
  <c r="N262" i="25"/>
  <c r="N268" i="25" s="1"/>
  <c r="I114" i="25"/>
  <c r="P256" i="25"/>
  <c r="L256" i="25"/>
  <c r="L200" i="25"/>
  <c r="L251" i="25" s="1"/>
  <c r="F231" i="25" l="1"/>
  <c r="R228" i="25"/>
  <c r="H228" i="25"/>
  <c r="U214" i="25" a="1"/>
  <c r="U214" i="25" s="1"/>
  <c r="O228" i="25"/>
  <c r="H235" i="25"/>
  <c r="N235" i="25"/>
  <c r="D235" i="25"/>
  <c r="T228" i="25"/>
  <c r="F235" i="25"/>
  <c r="D228" i="25"/>
  <c r="L235" i="25"/>
  <c r="G228" i="25"/>
  <c r="S228" i="25"/>
  <c r="L214" i="25" a="1"/>
  <c r="L214" i="25" s="1"/>
  <c r="I228" i="25"/>
  <c r="Q228" i="25"/>
  <c r="S235" i="25"/>
  <c r="P235" i="25"/>
  <c r="K228" i="25"/>
  <c r="Q235" i="25"/>
  <c r="F228" i="25"/>
  <c r="M228" i="25"/>
  <c r="E228" i="25"/>
  <c r="I235" i="25"/>
  <c r="E235" i="25"/>
  <c r="L228" i="25"/>
  <c r="G235" i="25"/>
  <c r="P228" i="25"/>
  <c r="U224" i="25"/>
  <c r="L224" i="25"/>
  <c r="N224" i="25"/>
  <c r="U228" i="25"/>
  <c r="M235" i="25"/>
  <c r="K235" i="25"/>
  <c r="R224" i="25"/>
  <c r="H224" i="25"/>
  <c r="T224" i="25"/>
  <c r="T235" i="25"/>
  <c r="R235" i="25"/>
  <c r="J228" i="25"/>
  <c r="O235" i="25"/>
  <c r="U235" i="25"/>
  <c r="N228" i="25"/>
  <c r="D224" i="25"/>
  <c r="G231" i="25"/>
  <c r="Q165" i="25"/>
  <c r="M266" i="25"/>
  <c r="M270" i="25" s="1"/>
  <c r="M272" i="25" s="1"/>
  <c r="M273" i="25" s="1"/>
  <c r="M281" i="25" s="1"/>
  <c r="I224" i="25"/>
  <c r="J231" i="25"/>
  <c r="R270" i="25"/>
  <c r="R272" i="25" s="1"/>
  <c r="R273" i="25" s="1"/>
  <c r="R279" i="25" s="1"/>
  <c r="R280" i="25" s="1"/>
  <c r="J258" i="25"/>
  <c r="J285" i="25"/>
  <c r="J259" i="25"/>
  <c r="J266" i="25" s="1"/>
  <c r="J286" i="25"/>
  <c r="J300" i="25"/>
  <c r="J348" i="25"/>
  <c r="L266" i="25"/>
  <c r="G309" i="25"/>
  <c r="G357" i="25"/>
  <c r="F359" i="25"/>
  <c r="F311" i="25"/>
  <c r="J50" i="25"/>
  <c r="J51" i="25" s="1"/>
  <c r="H309" i="25"/>
  <c r="H357" i="25"/>
  <c r="E358" i="25"/>
  <c r="E310" i="25"/>
  <c r="H258" i="25"/>
  <c r="H285" i="25"/>
  <c r="H259" i="25"/>
  <c r="H286" i="25"/>
  <c r="I350" i="25"/>
  <c r="I302" i="25"/>
  <c r="K312" i="25"/>
  <c r="K360" i="25"/>
  <c r="K232" i="25"/>
  <c r="U232" i="25"/>
  <c r="T225" i="25"/>
  <c r="I232" i="25"/>
  <c r="S232" i="25"/>
  <c r="P50" i="25"/>
  <c r="P51" i="25" s="1"/>
  <c r="P153" i="25" s="1"/>
  <c r="P158" i="25" s="1"/>
  <c r="P159" i="25" s="1"/>
  <c r="P160" i="25" s="1"/>
  <c r="H209" i="25" a="1"/>
  <c r="H209" i="25" s="1"/>
  <c r="D356" i="25"/>
  <c r="D308" i="25"/>
  <c r="R156" i="25"/>
  <c r="R157" i="25"/>
  <c r="R165" i="25" s="1"/>
  <c r="M156" i="25"/>
  <c r="U165" i="25"/>
  <c r="U166" i="25"/>
  <c r="U168" i="25" s="1"/>
  <c r="U169" i="25" s="1"/>
  <c r="U174" i="25" s="1"/>
  <c r="N158" i="25"/>
  <c r="N156" i="25"/>
  <c r="O158" i="25"/>
  <c r="O156" i="25"/>
  <c r="D157" i="25"/>
  <c r="P218" i="25" a="1"/>
  <c r="P218" i="25" s="1"/>
  <c r="T220" i="25" a="1"/>
  <c r="T220" i="25" s="1"/>
  <c r="E217" i="25" a="1"/>
  <c r="E217" i="25" s="1"/>
  <c r="L221" i="25" a="1"/>
  <c r="L221" i="25" s="1"/>
  <c r="I217" i="25" a="1"/>
  <c r="I217" i="25" s="1"/>
  <c r="D216" i="25" a="1"/>
  <c r="D216" i="25" s="1"/>
  <c r="U221" i="25" a="1"/>
  <c r="U221" i="25" s="1"/>
  <c r="H216" i="25" a="1"/>
  <c r="H216" i="25" s="1"/>
  <c r="N217" i="25" a="1"/>
  <c r="N217" i="25" s="1"/>
  <c r="S222" i="25" a="1"/>
  <c r="S222" i="25" s="1"/>
  <c r="F258" i="25"/>
  <c r="M216" i="25" a="1"/>
  <c r="M216" i="25" s="1"/>
  <c r="F259" i="25"/>
  <c r="F266" i="25" s="1"/>
  <c r="F285" i="25"/>
  <c r="F286" i="25"/>
  <c r="Q216" i="25" a="1"/>
  <c r="Q216" i="25" s="1"/>
  <c r="F218" i="25" a="1"/>
  <c r="F218" i="25" s="1"/>
  <c r="J218" i="25" a="1"/>
  <c r="J218" i="25" s="1"/>
  <c r="C189" i="25"/>
  <c r="G212" i="25" s="1" a="1"/>
  <c r="G212" i="25" s="1"/>
  <c r="I229" i="25"/>
  <c r="Q229" i="25"/>
  <c r="E229" i="25"/>
  <c r="M229" i="25"/>
  <c r="U229" i="25"/>
  <c r="F229" i="25"/>
  <c r="P229" i="25"/>
  <c r="F236" i="25"/>
  <c r="N236" i="25"/>
  <c r="G229" i="25"/>
  <c r="R229" i="25"/>
  <c r="G236" i="25"/>
  <c r="O236" i="25"/>
  <c r="H229" i="25"/>
  <c r="H236" i="25"/>
  <c r="P236" i="25"/>
  <c r="J229" i="25"/>
  <c r="T229" i="25"/>
  <c r="K229" i="25"/>
  <c r="J236" i="25"/>
  <c r="R236" i="25"/>
  <c r="N229" i="25"/>
  <c r="D236" i="25"/>
  <c r="L236" i="25"/>
  <c r="T236" i="25"/>
  <c r="U236" i="25"/>
  <c r="E236" i="25"/>
  <c r="I236" i="25"/>
  <c r="K236" i="25"/>
  <c r="D229" i="25"/>
  <c r="M236" i="25"/>
  <c r="O229" i="25"/>
  <c r="Q236" i="25"/>
  <c r="S236" i="25"/>
  <c r="L229" i="25"/>
  <c r="L157" i="25"/>
  <c r="L156" i="25"/>
  <c r="E223" i="25"/>
  <c r="U223" i="25"/>
  <c r="G230" i="25"/>
  <c r="O230" i="25"/>
  <c r="I223" i="25"/>
  <c r="K230" i="25"/>
  <c r="S230" i="25"/>
  <c r="G223" i="25"/>
  <c r="R223" i="25"/>
  <c r="I230" i="25"/>
  <c r="T230" i="25"/>
  <c r="H223" i="25"/>
  <c r="S223" i="25"/>
  <c r="J230" i="25"/>
  <c r="U230" i="25"/>
  <c r="J223" i="25"/>
  <c r="T223" i="25"/>
  <c r="L230" i="25"/>
  <c r="K223" i="25"/>
  <c r="M230" i="25"/>
  <c r="L223" i="25"/>
  <c r="D230" i="25"/>
  <c r="N230" i="25"/>
  <c r="D223" i="25"/>
  <c r="O223" i="25"/>
  <c r="F230" i="25"/>
  <c r="Q230" i="25"/>
  <c r="E230" i="25"/>
  <c r="H230" i="25"/>
  <c r="P230" i="25"/>
  <c r="F223" i="25"/>
  <c r="R230" i="25"/>
  <c r="N223" i="25"/>
  <c r="P223" i="25"/>
  <c r="S229" i="25"/>
  <c r="D209" i="25" a="1"/>
  <c r="D209" i="25" s="1"/>
  <c r="Q264" i="25"/>
  <c r="Q257" i="25"/>
  <c r="Q265" i="25" s="1"/>
  <c r="U281" i="25"/>
  <c r="U279" i="25"/>
  <c r="U280" i="25" s="1"/>
  <c r="Q176" i="25"/>
  <c r="Q175" i="25"/>
  <c r="Q287" i="25"/>
  <c r="S215" i="25" a="1"/>
  <c r="S215" i="25" s="1"/>
  <c r="Q223" i="25"/>
  <c r="L161" i="25"/>
  <c r="L159" i="25"/>
  <c r="L160" i="25" s="1"/>
  <c r="P257" i="25"/>
  <c r="P265" i="25" s="1"/>
  <c r="P264" i="25"/>
  <c r="P270" i="25" s="1"/>
  <c r="P272" i="25" s="1"/>
  <c r="N258" i="25"/>
  <c r="N259" i="25"/>
  <c r="N285" i="25"/>
  <c r="N286" i="25"/>
  <c r="D279" i="25"/>
  <c r="D280" i="25" s="1"/>
  <c r="D281" i="25"/>
  <c r="S279" i="25"/>
  <c r="S280" i="25" s="1"/>
  <c r="S281" i="25"/>
  <c r="T157" i="25"/>
  <c r="T156" i="25"/>
  <c r="I259" i="25"/>
  <c r="I285" i="25"/>
  <c r="I258" i="25"/>
  <c r="I286" i="25"/>
  <c r="T159" i="25"/>
  <c r="T160" i="25" s="1"/>
  <c r="T162" i="25" s="1"/>
  <c r="T164" i="25" s="1"/>
  <c r="T161" i="25"/>
  <c r="O285" i="25"/>
  <c r="O286" i="25"/>
  <c r="O259" i="25"/>
  <c r="O258" i="25"/>
  <c r="M223" i="25"/>
  <c r="T273" i="25"/>
  <c r="E273" i="25"/>
  <c r="R166" i="25"/>
  <c r="R168" i="25" s="1"/>
  <c r="R169" i="25" s="1"/>
  <c r="R174" i="25" s="1"/>
  <c r="J257" i="25"/>
  <c r="J265" i="25" s="1"/>
  <c r="J264" i="25"/>
  <c r="G285" i="25"/>
  <c r="G286" i="25"/>
  <c r="G259" i="25"/>
  <c r="G258" i="25"/>
  <c r="O264" i="25"/>
  <c r="O257" i="25"/>
  <c r="O265" i="25" s="1"/>
  <c r="S166" i="25"/>
  <c r="S168" i="25" s="1"/>
  <c r="S169" i="25" s="1"/>
  <c r="S174" i="25" s="1"/>
  <c r="S165" i="25"/>
  <c r="K273" i="25"/>
  <c r="P157" i="25"/>
  <c r="L257" i="25"/>
  <c r="L265" i="25" s="1"/>
  <c r="L264" i="25"/>
  <c r="N257" i="25"/>
  <c r="N265" i="25" s="1"/>
  <c r="N264" i="25"/>
  <c r="M159" i="25"/>
  <c r="M160" i="25" s="1"/>
  <c r="M161" i="25"/>
  <c r="F257" i="25"/>
  <c r="F265" i="25" s="1"/>
  <c r="F264" i="25"/>
  <c r="Q209" i="25" a="1"/>
  <c r="Q209" i="25" s="1"/>
  <c r="R281" i="25"/>
  <c r="M279" i="25"/>
  <c r="M280" i="25" s="1"/>
  <c r="P156" i="25" l="1"/>
  <c r="N243" i="25"/>
  <c r="O238" i="25"/>
  <c r="U243" i="25"/>
  <c r="G237" i="25"/>
  <c r="D240" i="25"/>
  <c r="M238" i="25"/>
  <c r="R238" i="25"/>
  <c r="M241" i="25"/>
  <c r="M237" i="25"/>
  <c r="I241" i="25"/>
  <c r="R243" i="25"/>
  <c r="H240" i="25"/>
  <c r="L162" i="25"/>
  <c r="L164" i="25" s="1"/>
  <c r="U239" i="25"/>
  <c r="P241" i="25"/>
  <c r="H266" i="25"/>
  <c r="H270" i="25" s="1"/>
  <c r="H272" i="25" s="1"/>
  <c r="H273" i="25" s="1"/>
  <c r="H281" i="25" s="1"/>
  <c r="R242" i="25"/>
  <c r="F238" i="25"/>
  <c r="P161" i="25"/>
  <c r="P162" i="25" s="1"/>
  <c r="P164" i="25" s="1"/>
  <c r="F312" i="25"/>
  <c r="F360" i="25"/>
  <c r="J301" i="25"/>
  <c r="J349" i="25"/>
  <c r="E311" i="25"/>
  <c r="E359" i="25"/>
  <c r="K313" i="25"/>
  <c r="K361" i="25"/>
  <c r="G310" i="25"/>
  <c r="G358" i="25"/>
  <c r="I351" i="25"/>
  <c r="I303" i="25"/>
  <c r="H310" i="25"/>
  <c r="H358" i="25"/>
  <c r="G239" i="25"/>
  <c r="E240" i="25"/>
  <c r="Q238" i="25"/>
  <c r="K237" i="25"/>
  <c r="I237" i="25"/>
  <c r="F243" i="25"/>
  <c r="N239" i="25"/>
  <c r="H241" i="25"/>
  <c r="P237" i="25"/>
  <c r="J243" i="25"/>
  <c r="R239" i="25"/>
  <c r="E241" i="25"/>
  <c r="E237" i="25"/>
  <c r="J242" i="25"/>
  <c r="J238" i="25"/>
  <c r="R212" i="25" a="1"/>
  <c r="R212" i="25" s="1"/>
  <c r="O242" i="25"/>
  <c r="S243" i="25"/>
  <c r="U238" i="25"/>
  <c r="O237" i="25"/>
  <c r="U242" i="25"/>
  <c r="P242" i="25"/>
  <c r="F239" i="25"/>
  <c r="R240" i="25"/>
  <c r="H237" i="25"/>
  <c r="T242" i="25"/>
  <c r="J239" i="25"/>
  <c r="O240" i="25"/>
  <c r="T241" i="25"/>
  <c r="T237" i="25"/>
  <c r="O212" i="25" a="1"/>
  <c r="O212" i="25" s="1"/>
  <c r="O241" i="25"/>
  <c r="E239" i="25"/>
  <c r="Q237" i="25"/>
  <c r="E243" i="25"/>
  <c r="Q241" i="25"/>
  <c r="H242" i="25"/>
  <c r="P238" i="25"/>
  <c r="T243" i="25"/>
  <c r="J240" i="25"/>
  <c r="L242" i="25"/>
  <c r="T238" i="25"/>
  <c r="Q243" i="25"/>
  <c r="Q239" i="25"/>
  <c r="L241" i="25"/>
  <c r="L237" i="25"/>
  <c r="K212" i="25" a="1"/>
  <c r="K212" i="25" s="1"/>
  <c r="R219" i="25" a="1"/>
  <c r="R219" i="25" s="1"/>
  <c r="G219" i="25" a="1"/>
  <c r="G219" i="25" s="1"/>
  <c r="D357" i="25"/>
  <c r="D309" i="25"/>
  <c r="J270" i="25"/>
  <c r="J272" i="25" s="1"/>
  <c r="S237" i="25"/>
  <c r="Q242" i="25"/>
  <c r="K243" i="25"/>
  <c r="G243" i="25"/>
  <c r="S241" i="25"/>
  <c r="M240" i="25"/>
  <c r="R241" i="25"/>
  <c r="H238" i="25"/>
  <c r="L243" i="25"/>
  <c r="T239" i="25"/>
  <c r="D242" i="25"/>
  <c r="L238" i="25"/>
  <c r="I243" i="25"/>
  <c r="I239" i="25"/>
  <c r="D241" i="25"/>
  <c r="D237" i="25"/>
  <c r="G226" i="25"/>
  <c r="K241" i="25"/>
  <c r="E238" i="25"/>
  <c r="M243" i="25"/>
  <c r="G242" i="25"/>
  <c r="E242" i="25"/>
  <c r="Q240" i="25"/>
  <c r="K239" i="25"/>
  <c r="J241" i="25"/>
  <c r="R237" i="25"/>
  <c r="D243" i="25"/>
  <c r="L239" i="25"/>
  <c r="N241" i="25"/>
  <c r="D238" i="25"/>
  <c r="S242" i="25"/>
  <c r="S238" i="25"/>
  <c r="N240" i="25"/>
  <c r="K240" i="25"/>
  <c r="O243" i="25"/>
  <c r="I242" i="25"/>
  <c r="U240" i="25"/>
  <c r="S240" i="25"/>
  <c r="M239" i="25"/>
  <c r="G238" i="25"/>
  <c r="T240" i="25"/>
  <c r="J237" i="25"/>
  <c r="N242" i="25"/>
  <c r="D239" i="25"/>
  <c r="F241" i="25"/>
  <c r="N237" i="25"/>
  <c r="K242" i="25"/>
  <c r="K238" i="25"/>
  <c r="P243" i="25"/>
  <c r="F240" i="25"/>
  <c r="I240" i="25"/>
  <c r="M242" i="25"/>
  <c r="G241" i="25"/>
  <c r="S239" i="25"/>
  <c r="O239" i="25"/>
  <c r="I238" i="25"/>
  <c r="L240" i="25"/>
  <c r="F242" i="25"/>
  <c r="N238" i="25"/>
  <c r="P240" i="25"/>
  <c r="F237" i="25"/>
  <c r="U241" i="25"/>
  <c r="U237" i="25"/>
  <c r="H243" i="25"/>
  <c r="H239" i="25"/>
  <c r="U282" i="25"/>
  <c r="U293" i="25" s="1"/>
  <c r="Q270" i="25"/>
  <c r="Q272" i="25" s="1"/>
  <c r="Q273" i="25" s="1"/>
  <c r="M282" i="25"/>
  <c r="M294" i="25" s="1"/>
  <c r="T165" i="25"/>
  <c r="T166" i="25"/>
  <c r="T168" i="25" s="1"/>
  <c r="T169" i="25" s="1"/>
  <c r="T174" i="25" s="1"/>
  <c r="T279" i="25"/>
  <c r="T280" i="25" s="1"/>
  <c r="T281" i="25"/>
  <c r="M162" i="25"/>
  <c r="M164" i="25" s="1"/>
  <c r="S282" i="25"/>
  <c r="S226" i="25"/>
  <c r="F226" i="25"/>
  <c r="Q226" i="25"/>
  <c r="D233" i="25"/>
  <c r="D252" i="25" s="1"/>
  <c r="L233" i="25"/>
  <c r="L252" i="25" s="1"/>
  <c r="T233" i="25"/>
  <c r="T252" i="25" s="1"/>
  <c r="H226" i="25"/>
  <c r="R226" i="25"/>
  <c r="E233" i="25"/>
  <c r="E252" i="25" s="1"/>
  <c r="M233" i="25"/>
  <c r="M252" i="25" s="1"/>
  <c r="U233" i="25"/>
  <c r="U252" i="25" s="1"/>
  <c r="I226" i="25"/>
  <c r="T226" i="25"/>
  <c r="F233" i="25"/>
  <c r="F252" i="25" s="1"/>
  <c r="N233" i="25"/>
  <c r="N252" i="25" s="1"/>
  <c r="J226" i="25"/>
  <c r="U226" i="25"/>
  <c r="L226" i="25"/>
  <c r="H233" i="25"/>
  <c r="H252" i="25" s="1"/>
  <c r="P233" i="25"/>
  <c r="P252" i="25" s="1"/>
  <c r="D226" i="25"/>
  <c r="N226" i="25"/>
  <c r="J233" i="25"/>
  <c r="J252" i="25" s="1"/>
  <c r="R233" i="25"/>
  <c r="R252" i="25" s="1"/>
  <c r="M226" i="25"/>
  <c r="G233" i="25"/>
  <c r="G252" i="25" s="1"/>
  <c r="P226" i="25"/>
  <c r="I233" i="25"/>
  <c r="I252" i="25" s="1"/>
  <c r="K233" i="25"/>
  <c r="K252" i="25" s="1"/>
  <c r="O233" i="25"/>
  <c r="O252" i="25" s="1"/>
  <c r="Q233" i="25"/>
  <c r="Q252" i="25" s="1"/>
  <c r="S233" i="25"/>
  <c r="S252" i="25" s="1"/>
  <c r="E226" i="25"/>
  <c r="K226" i="25"/>
  <c r="O226" i="25"/>
  <c r="P239" i="25"/>
  <c r="N161" i="25"/>
  <c r="N159" i="25"/>
  <c r="N160" i="25" s="1"/>
  <c r="J273" i="25"/>
  <c r="L165" i="25"/>
  <c r="L166" i="25"/>
  <c r="L168" i="25" s="1"/>
  <c r="L169" i="25" s="1"/>
  <c r="L174" i="25" s="1"/>
  <c r="R176" i="25"/>
  <c r="R175" i="25"/>
  <c r="R287" i="25"/>
  <c r="D282" i="25"/>
  <c r="U175" i="25"/>
  <c r="U176" i="25"/>
  <c r="U287" i="25"/>
  <c r="R282" i="25"/>
  <c r="I266" i="25"/>
  <c r="I270" i="25" s="1"/>
  <c r="I272" i="25" s="1"/>
  <c r="G266" i="25"/>
  <c r="G270" i="25" s="1"/>
  <c r="G272" i="25" s="1"/>
  <c r="O266" i="25"/>
  <c r="O270" i="25" s="1"/>
  <c r="O272" i="25" s="1"/>
  <c r="X264" i="25"/>
  <c r="G240" i="25"/>
  <c r="O219" i="25" a="1"/>
  <c r="O219" i="25" s="1"/>
  <c r="O159" i="25"/>
  <c r="O160" i="25" s="1"/>
  <c r="O161" i="25"/>
  <c r="K279" i="25"/>
  <c r="K280" i="25" s="1"/>
  <c r="K282" i="25" s="1"/>
  <c r="K281" i="25"/>
  <c r="P273" i="25"/>
  <c r="S176" i="25"/>
  <c r="S287" i="25"/>
  <c r="S175" i="25"/>
  <c r="X265" i="25"/>
  <c r="L270" i="25"/>
  <c r="L272" i="25" s="1"/>
  <c r="E281" i="25"/>
  <c r="E279" i="25"/>
  <c r="E280" i="25" s="1"/>
  <c r="N266" i="25"/>
  <c r="N270" i="25" s="1"/>
  <c r="N272" i="25" s="1"/>
  <c r="F270" i="25"/>
  <c r="F272" i="25" s="1"/>
  <c r="K219" i="25" a="1"/>
  <c r="K219" i="25" s="1"/>
  <c r="H279" i="25" l="1"/>
  <c r="H280" i="25" s="1"/>
  <c r="H282" i="25" s="1"/>
  <c r="P165" i="25"/>
  <c r="P166" i="25"/>
  <c r="P168" i="25" s="1"/>
  <c r="P169" i="25" s="1"/>
  <c r="P174" i="25" s="1"/>
  <c r="U294" i="25"/>
  <c r="U290" i="25"/>
  <c r="G311" i="25"/>
  <c r="G359" i="25"/>
  <c r="J302" i="25"/>
  <c r="J350" i="25"/>
  <c r="H311" i="25"/>
  <c r="H359" i="25"/>
  <c r="K314" i="25"/>
  <c r="K362" i="25"/>
  <c r="F313" i="25"/>
  <c r="F361" i="25"/>
  <c r="I304" i="25"/>
  <c r="I352" i="25"/>
  <c r="E312" i="25"/>
  <c r="E360" i="25"/>
  <c r="D358" i="25"/>
  <c r="D310" i="25"/>
  <c r="E282" i="25"/>
  <c r="E294" i="25" s="1"/>
  <c r="O162" i="25"/>
  <c r="O164" i="25" s="1"/>
  <c r="N162" i="25"/>
  <c r="N164" i="25" s="1"/>
  <c r="H294" i="25"/>
  <c r="T282" i="25"/>
  <c r="Q279" i="25"/>
  <c r="Q280" i="25" s="1"/>
  <c r="Q281" i="25"/>
  <c r="S294" i="25"/>
  <c r="S290" i="25"/>
  <c r="S293" i="25"/>
  <c r="F273" i="25"/>
  <c r="R294" i="25"/>
  <c r="R290" i="25"/>
  <c r="R293" i="25"/>
  <c r="I273" i="25"/>
  <c r="P175" i="25"/>
  <c r="P176" i="25"/>
  <c r="P287" i="25"/>
  <c r="N273" i="25"/>
  <c r="O273" i="25"/>
  <c r="L175" i="25"/>
  <c r="L287" i="25"/>
  <c r="L176" i="25"/>
  <c r="M165" i="25"/>
  <c r="M166" i="25"/>
  <c r="M168" i="25" s="1"/>
  <c r="M169" i="25" s="1"/>
  <c r="M174" i="25" s="1"/>
  <c r="M293" i="25"/>
  <c r="M295" i="25" s="1"/>
  <c r="L273" i="25"/>
  <c r="G273" i="25"/>
  <c r="T175" i="25"/>
  <c r="T287" i="25"/>
  <c r="T176" i="25"/>
  <c r="P279" i="25"/>
  <c r="P280" i="25" s="1"/>
  <c r="P281" i="25"/>
  <c r="U295" i="25"/>
  <c r="K294" i="25"/>
  <c r="D294" i="25"/>
  <c r="J279" i="25"/>
  <c r="J280" i="25" s="1"/>
  <c r="J282" i="25" s="1"/>
  <c r="J281" i="25"/>
  <c r="E313" i="25" l="1"/>
  <c r="E361" i="25"/>
  <c r="H312" i="25"/>
  <c r="H360" i="25"/>
  <c r="I353" i="25"/>
  <c r="I305" i="25"/>
  <c r="J303" i="25"/>
  <c r="J351" i="25"/>
  <c r="F314" i="25"/>
  <c r="F362" i="25"/>
  <c r="G360" i="25"/>
  <c r="G312" i="25"/>
  <c r="K315" i="25"/>
  <c r="K363" i="25"/>
  <c r="D359" i="25"/>
  <c r="D311" i="25"/>
  <c r="S295" i="25"/>
  <c r="Q282" i="25"/>
  <c r="N166" i="25"/>
  <c r="N168" i="25" s="1"/>
  <c r="N169" i="25" s="1"/>
  <c r="N174" i="25" s="1"/>
  <c r="N165" i="25"/>
  <c r="L279" i="25"/>
  <c r="L280" i="25" s="1"/>
  <c r="L282" i="25" s="1"/>
  <c r="L281" i="25"/>
  <c r="R295" i="25"/>
  <c r="O166" i="25"/>
  <c r="O168" i="25" s="1"/>
  <c r="O169" i="25" s="1"/>
  <c r="O174" i="25" s="1"/>
  <c r="O165" i="25"/>
  <c r="O281" i="25"/>
  <c r="O279" i="25"/>
  <c r="O280" i="25" s="1"/>
  <c r="O282" i="25" s="1"/>
  <c r="O293" i="25" s="1"/>
  <c r="P282" i="25"/>
  <c r="M176" i="25"/>
  <c r="M175" i="25"/>
  <c r="M287" i="25"/>
  <c r="M290" i="25" s="1"/>
  <c r="N281" i="25"/>
  <c r="N279" i="25"/>
  <c r="N280" i="25" s="1"/>
  <c r="G281" i="25"/>
  <c r="G279" i="25"/>
  <c r="G280" i="25" s="1"/>
  <c r="F281" i="25"/>
  <c r="F279" i="25"/>
  <c r="F280" i="25" s="1"/>
  <c r="I281" i="25"/>
  <c r="I279" i="25"/>
  <c r="I280" i="25" s="1"/>
  <c r="J294" i="25"/>
  <c r="T294" i="25"/>
  <c r="T290" i="25"/>
  <c r="T293" i="25"/>
  <c r="N282" i="25" l="1"/>
  <c r="G313" i="25"/>
  <c r="G361" i="25"/>
  <c r="H361" i="25"/>
  <c r="H313" i="25"/>
  <c r="F315" i="25"/>
  <c r="F363" i="25"/>
  <c r="K364" i="25"/>
  <c r="K316" i="25"/>
  <c r="E314" i="25"/>
  <c r="E362" i="25"/>
  <c r="J304" i="25"/>
  <c r="J352" i="25"/>
  <c r="I354" i="25"/>
  <c r="I306" i="25"/>
  <c r="D360" i="25"/>
  <c r="D312" i="25"/>
  <c r="F282" i="25"/>
  <c r="F294" i="25" s="1"/>
  <c r="T295" i="25"/>
  <c r="P290" i="25"/>
  <c r="P294" i="25"/>
  <c r="P293" i="25"/>
  <c r="I282" i="25"/>
  <c r="N294" i="25"/>
  <c r="N175" i="25"/>
  <c r="N176" i="25"/>
  <c r="N287" i="25"/>
  <c r="N290" i="25" s="1"/>
  <c r="L294" i="25"/>
  <c r="L290" i="25"/>
  <c r="L293" i="25"/>
  <c r="Q290" i="25"/>
  <c r="Q294" i="25"/>
  <c r="Q293" i="25"/>
  <c r="O294" i="25"/>
  <c r="O295" i="25" s="1"/>
  <c r="O176" i="25"/>
  <c r="O175" i="25"/>
  <c r="O287" i="25"/>
  <c r="O290" i="25" s="1"/>
  <c r="G282" i="25"/>
  <c r="N293" i="25"/>
  <c r="F316" i="25" l="1"/>
  <c r="F364" i="25"/>
  <c r="H314" i="25"/>
  <c r="H362" i="25"/>
  <c r="J305" i="25"/>
  <c r="J353" i="25"/>
  <c r="I307" i="25"/>
  <c r="I355" i="25"/>
  <c r="E315" i="25"/>
  <c r="E363" i="25"/>
  <c r="G314" i="25"/>
  <c r="G362" i="25"/>
  <c r="K317" i="25"/>
  <c r="K365" i="25"/>
  <c r="D361" i="25"/>
  <c r="D313" i="25"/>
  <c r="N295" i="25"/>
  <c r="I294" i="25"/>
  <c r="G294" i="25"/>
  <c r="L295" i="25"/>
  <c r="P295" i="25"/>
  <c r="Q295" i="25"/>
  <c r="I308" i="25" l="1"/>
  <c r="I356" i="25"/>
  <c r="K318" i="25"/>
  <c r="K366" i="25"/>
  <c r="J306" i="25"/>
  <c r="J354" i="25"/>
  <c r="G315" i="25"/>
  <c r="G363" i="25"/>
  <c r="H315" i="25"/>
  <c r="H363" i="25"/>
  <c r="E316" i="25"/>
  <c r="E364" i="25"/>
  <c r="F317" i="25"/>
  <c r="F365" i="25"/>
  <c r="D362" i="25"/>
  <c r="D314" i="25"/>
  <c r="G316" i="25" l="1"/>
  <c r="G364" i="25"/>
  <c r="J355" i="25"/>
  <c r="J307" i="25"/>
  <c r="F318" i="25"/>
  <c r="F366" i="25"/>
  <c r="E317" i="25"/>
  <c r="E365" i="25"/>
  <c r="K319" i="25"/>
  <c r="K367" i="25"/>
  <c r="H316" i="25"/>
  <c r="H364" i="25"/>
  <c r="I309" i="25"/>
  <c r="I357" i="25"/>
  <c r="D363" i="25"/>
  <c r="D315" i="25"/>
  <c r="I310" i="25" l="1"/>
  <c r="I358" i="25"/>
  <c r="J308" i="25"/>
  <c r="J356" i="25"/>
  <c r="E366" i="25"/>
  <c r="E318" i="25"/>
  <c r="F367" i="25"/>
  <c r="F319" i="25"/>
  <c r="H317" i="25"/>
  <c r="H365" i="25"/>
  <c r="K320" i="25"/>
  <c r="K368" i="25"/>
  <c r="G317" i="25"/>
  <c r="G365" i="25"/>
  <c r="D364" i="25"/>
  <c r="D316" i="25"/>
  <c r="F320" i="25" l="1"/>
  <c r="F368" i="25"/>
  <c r="E319" i="25"/>
  <c r="E367" i="25"/>
  <c r="G318" i="25"/>
  <c r="G366" i="25"/>
  <c r="K321" i="25"/>
  <c r="K369" i="25"/>
  <c r="J309" i="25"/>
  <c r="J357" i="25"/>
  <c r="H318" i="25"/>
  <c r="H366" i="25"/>
  <c r="I311" i="25"/>
  <c r="I359" i="25"/>
  <c r="D365" i="25"/>
  <c r="D317" i="25"/>
  <c r="I312" i="25" l="1"/>
  <c r="I360" i="25"/>
  <c r="K322" i="25"/>
  <c r="K370" i="25"/>
  <c r="G319" i="25"/>
  <c r="G367" i="25"/>
  <c r="H319" i="25"/>
  <c r="H367" i="25"/>
  <c r="E320" i="25"/>
  <c r="E368" i="25"/>
  <c r="J310" i="25"/>
  <c r="J358" i="25"/>
  <c r="F321" i="25"/>
  <c r="F369" i="25"/>
  <c r="D366" i="25"/>
  <c r="D318" i="25"/>
  <c r="H320" i="25" l="1"/>
  <c r="H368" i="25"/>
  <c r="F322" i="25"/>
  <c r="F370" i="25"/>
  <c r="J311" i="25"/>
  <c r="J359" i="25"/>
  <c r="G368" i="25"/>
  <c r="G320" i="25"/>
  <c r="K323" i="25"/>
  <c r="K371" i="25"/>
  <c r="E321" i="25"/>
  <c r="E369" i="25"/>
  <c r="I313" i="25"/>
  <c r="I361" i="25"/>
  <c r="D367" i="25"/>
  <c r="D319" i="25"/>
  <c r="I362" i="25" l="1"/>
  <c r="I314" i="25"/>
  <c r="J312" i="25"/>
  <c r="J360" i="25"/>
  <c r="E322" i="25"/>
  <c r="E370" i="25"/>
  <c r="G321" i="25"/>
  <c r="G369" i="25"/>
  <c r="F323" i="25"/>
  <c r="F371" i="25"/>
  <c r="K324" i="25"/>
  <c r="K372" i="25"/>
  <c r="H369" i="25"/>
  <c r="H321" i="25"/>
  <c r="D368" i="25"/>
  <c r="D320" i="25"/>
  <c r="H322" i="25" l="1"/>
  <c r="H370" i="25"/>
  <c r="K325" i="25"/>
  <c r="K373" i="25"/>
  <c r="I315" i="25"/>
  <c r="I363" i="25"/>
  <c r="G322" i="25"/>
  <c r="G370" i="25"/>
  <c r="E323" i="25"/>
  <c r="E371" i="25"/>
  <c r="J313" i="25"/>
  <c r="J361" i="25"/>
  <c r="F324" i="25"/>
  <c r="F372" i="25"/>
  <c r="D369" i="25"/>
  <c r="D321" i="25"/>
  <c r="I316" i="25" l="1"/>
  <c r="I364" i="25"/>
  <c r="J314" i="25"/>
  <c r="J362" i="25"/>
  <c r="G323" i="25"/>
  <c r="G371" i="25"/>
  <c r="F325" i="25"/>
  <c r="F373" i="25"/>
  <c r="K326" i="25"/>
  <c r="K374" i="25"/>
  <c r="E324" i="25"/>
  <c r="E372" i="25"/>
  <c r="H323" i="25"/>
  <c r="H371" i="25"/>
  <c r="D370" i="25"/>
  <c r="D322" i="25"/>
  <c r="G324" i="25" l="1"/>
  <c r="G372" i="25"/>
  <c r="J363" i="25"/>
  <c r="J315" i="25"/>
  <c r="F326" i="25"/>
  <c r="F374" i="25"/>
  <c r="H324" i="25"/>
  <c r="H372" i="25"/>
  <c r="E325" i="25"/>
  <c r="E373" i="25"/>
  <c r="K327" i="25"/>
  <c r="K375" i="25"/>
  <c r="I317" i="25"/>
  <c r="I365" i="25"/>
  <c r="D371" i="25"/>
  <c r="D323" i="25"/>
  <c r="F375" i="25" l="1"/>
  <c r="F327" i="25"/>
  <c r="K376" i="25"/>
  <c r="K328" i="25"/>
  <c r="H325" i="25"/>
  <c r="H373" i="25"/>
  <c r="I318" i="25"/>
  <c r="I366" i="25"/>
  <c r="J316" i="25"/>
  <c r="J364" i="25"/>
  <c r="E374" i="25"/>
  <c r="E326" i="25"/>
  <c r="G325" i="25"/>
  <c r="G373" i="25"/>
  <c r="D372" i="25"/>
  <c r="D324" i="25"/>
  <c r="I319" i="25" l="1"/>
  <c r="I367" i="25"/>
  <c r="H326" i="25"/>
  <c r="H374" i="25"/>
  <c r="E327" i="25"/>
  <c r="E375" i="25"/>
  <c r="F376" i="25"/>
  <c r="F328" i="25"/>
  <c r="G326" i="25"/>
  <c r="G374" i="25"/>
  <c r="K377" i="25"/>
  <c r="K329" i="25"/>
  <c r="J317" i="25"/>
  <c r="J365" i="25"/>
  <c r="D373" i="25"/>
  <c r="D325" i="25"/>
  <c r="F329" i="25" l="1"/>
  <c r="F377" i="25"/>
  <c r="K330" i="25"/>
  <c r="K378" i="25"/>
  <c r="J318" i="25"/>
  <c r="J366" i="25"/>
  <c r="E376" i="25"/>
  <c r="E328" i="25"/>
  <c r="H327" i="25"/>
  <c r="H375" i="25"/>
  <c r="G327" i="25"/>
  <c r="G375" i="25"/>
  <c r="I320" i="25"/>
  <c r="I368" i="25"/>
  <c r="D374" i="25"/>
  <c r="D326" i="25"/>
  <c r="I321" i="25" l="1"/>
  <c r="I369" i="25"/>
  <c r="G328" i="25"/>
  <c r="G376" i="25"/>
  <c r="E329" i="25"/>
  <c r="E377" i="25"/>
  <c r="J319" i="25"/>
  <c r="J367" i="25"/>
  <c r="K331" i="25"/>
  <c r="K379" i="25"/>
  <c r="H328" i="25"/>
  <c r="H376" i="25"/>
  <c r="F330" i="25"/>
  <c r="F378" i="25"/>
  <c r="D375" i="25"/>
  <c r="D327" i="25"/>
  <c r="J320" i="25" l="1"/>
  <c r="J368" i="25"/>
  <c r="F379" i="25"/>
  <c r="F331" i="25"/>
  <c r="H377" i="25"/>
  <c r="H329" i="25"/>
  <c r="E378" i="25"/>
  <c r="E330" i="25"/>
  <c r="G377" i="25"/>
  <c r="G329" i="25"/>
  <c r="K380" i="25"/>
  <c r="K332" i="25"/>
  <c r="I370" i="25"/>
  <c r="I322" i="25"/>
  <c r="D376" i="25"/>
  <c r="D328" i="25"/>
  <c r="H378" i="25" l="1"/>
  <c r="H330" i="25"/>
  <c r="K333" i="25"/>
  <c r="K381" i="25"/>
  <c r="E379" i="25"/>
  <c r="E331" i="25"/>
  <c r="I371" i="25"/>
  <c r="I323" i="25"/>
  <c r="F332" i="25"/>
  <c r="F380" i="25"/>
  <c r="G330" i="25"/>
  <c r="G378" i="25"/>
  <c r="J321" i="25"/>
  <c r="J369" i="25"/>
  <c r="D377" i="25"/>
  <c r="D329" i="25"/>
  <c r="J322" i="25" l="1"/>
  <c r="J370" i="25"/>
  <c r="H331" i="25"/>
  <c r="H379" i="25"/>
  <c r="I324" i="25"/>
  <c r="I372" i="25"/>
  <c r="E332" i="25"/>
  <c r="E380" i="25"/>
  <c r="G331" i="25"/>
  <c r="G379" i="25"/>
  <c r="K334" i="25"/>
  <c r="K382" i="25"/>
  <c r="F333" i="25"/>
  <c r="F381" i="25"/>
  <c r="D378" i="25"/>
  <c r="D330" i="25"/>
  <c r="E333" i="25" l="1"/>
  <c r="E381" i="25"/>
  <c r="I325" i="25"/>
  <c r="I373" i="25"/>
  <c r="K383" i="25"/>
  <c r="K335" i="25"/>
  <c r="F334" i="25"/>
  <c r="F382" i="25"/>
  <c r="H380" i="25"/>
  <c r="H332" i="25"/>
  <c r="G380" i="25"/>
  <c r="G332" i="25"/>
  <c r="J371" i="25"/>
  <c r="J323" i="25"/>
  <c r="D379" i="25"/>
  <c r="D331" i="25"/>
  <c r="J324" i="25" l="1"/>
  <c r="J372" i="25"/>
  <c r="K336" i="25"/>
  <c r="K384" i="25"/>
  <c r="H381" i="25"/>
  <c r="H333" i="25"/>
  <c r="F383" i="25"/>
  <c r="F335" i="25"/>
  <c r="G333" i="25"/>
  <c r="G381" i="25"/>
  <c r="I326" i="25"/>
  <c r="I374" i="25"/>
  <c r="E382" i="25"/>
  <c r="E334" i="25"/>
  <c r="D380" i="25"/>
  <c r="D332" i="25"/>
  <c r="H334" i="25" l="1"/>
  <c r="H382" i="25"/>
  <c r="F336" i="25"/>
  <c r="F384" i="25"/>
  <c r="E335" i="25"/>
  <c r="E383" i="25"/>
  <c r="I375" i="25"/>
  <c r="I327" i="25"/>
  <c r="K337" i="25"/>
  <c r="K385" i="25"/>
  <c r="G334" i="25"/>
  <c r="G382" i="25"/>
  <c r="J325" i="25"/>
  <c r="J373" i="25"/>
  <c r="D381" i="25"/>
  <c r="D333" i="25"/>
  <c r="I376" i="25" l="1"/>
  <c r="I328" i="25"/>
  <c r="J326" i="25"/>
  <c r="J374" i="25"/>
  <c r="G335" i="25"/>
  <c r="G383" i="25"/>
  <c r="E384" i="25"/>
  <c r="E336" i="25"/>
  <c r="F385" i="25"/>
  <c r="F337" i="25"/>
  <c r="K338" i="25"/>
  <c r="K386" i="25"/>
  <c r="H335" i="25"/>
  <c r="H383" i="25"/>
  <c r="D382" i="25"/>
  <c r="D334" i="25"/>
  <c r="E337" i="25" l="1"/>
  <c r="E385" i="25"/>
  <c r="F338" i="25"/>
  <c r="F386" i="25"/>
  <c r="H336" i="25"/>
  <c r="H384" i="25"/>
  <c r="G384" i="25"/>
  <c r="G336" i="25"/>
  <c r="K339" i="25"/>
  <c r="K387" i="25"/>
  <c r="J327" i="25"/>
  <c r="J375" i="25"/>
  <c r="I329" i="25"/>
  <c r="I377" i="25"/>
  <c r="D383" i="25"/>
  <c r="D335" i="25"/>
  <c r="G385" i="25" l="1"/>
  <c r="G337" i="25"/>
  <c r="H337" i="25"/>
  <c r="H385" i="25"/>
  <c r="I378" i="25"/>
  <c r="I330" i="25"/>
  <c r="J376" i="25"/>
  <c r="J328" i="25"/>
  <c r="F339" i="25"/>
  <c r="F387" i="25"/>
  <c r="K388" i="25"/>
  <c r="K340" i="25"/>
  <c r="E338" i="25"/>
  <c r="E386" i="25"/>
  <c r="D384" i="25"/>
  <c r="D336" i="25"/>
  <c r="J329" i="25" l="1"/>
  <c r="J377" i="25"/>
  <c r="E339" i="25"/>
  <c r="E387" i="25"/>
  <c r="G386" i="25"/>
  <c r="G338" i="25"/>
  <c r="I379" i="25"/>
  <c r="I331" i="25"/>
  <c r="K341" i="25"/>
  <c r="K389" i="25"/>
  <c r="H386" i="25"/>
  <c r="H338" i="25"/>
  <c r="F340" i="25"/>
  <c r="F388" i="25"/>
  <c r="D385" i="25"/>
  <c r="D337" i="25"/>
  <c r="I332" i="25" l="1"/>
  <c r="I380" i="25"/>
  <c r="G339" i="25"/>
  <c r="G387" i="25"/>
  <c r="F341" i="25"/>
  <c r="F389" i="25"/>
  <c r="H339" i="25"/>
  <c r="H387" i="25"/>
  <c r="E340" i="25"/>
  <c r="E388" i="25"/>
  <c r="K342" i="25"/>
  <c r="K390" i="25"/>
  <c r="J330" i="25"/>
  <c r="J378" i="25"/>
  <c r="D386" i="25"/>
  <c r="D338" i="25"/>
  <c r="H340" i="25" l="1"/>
  <c r="H388" i="25"/>
  <c r="F342" i="25"/>
  <c r="F390" i="25"/>
  <c r="J379" i="25"/>
  <c r="J331" i="25"/>
  <c r="K343" i="25"/>
  <c r="K391" i="25"/>
  <c r="G340" i="25"/>
  <c r="G388" i="25"/>
  <c r="E341" i="25"/>
  <c r="E389" i="25"/>
  <c r="I381" i="25"/>
  <c r="I333" i="25"/>
  <c r="D387" i="25"/>
  <c r="D339" i="25"/>
  <c r="K344" i="25" l="1"/>
  <c r="K392" i="25"/>
  <c r="I382" i="25"/>
  <c r="I334" i="25"/>
  <c r="F391" i="25"/>
  <c r="F343" i="25"/>
  <c r="J332" i="25"/>
  <c r="J380" i="25"/>
  <c r="E390" i="25"/>
  <c r="E342" i="25"/>
  <c r="G341" i="25"/>
  <c r="G389" i="25"/>
  <c r="H341" i="25"/>
  <c r="H389" i="25"/>
  <c r="D388" i="25"/>
  <c r="D340" i="25"/>
  <c r="J333" i="25" l="1"/>
  <c r="J381" i="25"/>
  <c r="H342" i="25"/>
  <c r="H390" i="25"/>
  <c r="I383" i="25"/>
  <c r="I335" i="25"/>
  <c r="E343" i="25"/>
  <c r="E391" i="25"/>
  <c r="F392" i="25"/>
  <c r="F344" i="25"/>
  <c r="G342" i="25"/>
  <c r="G390" i="25"/>
  <c r="K393" i="25"/>
  <c r="K345" i="25"/>
  <c r="D389" i="25"/>
  <c r="D341" i="25"/>
  <c r="E344" i="25" l="1"/>
  <c r="E392" i="25"/>
  <c r="I384" i="25"/>
  <c r="I336" i="25"/>
  <c r="G343" i="25"/>
  <c r="G391" i="25"/>
  <c r="K346" i="25"/>
  <c r="K395" i="25" s="1"/>
  <c r="K347" i="25" s="1"/>
  <c r="K151" i="25" s="1"/>
  <c r="K153" i="25" s="1"/>
  <c r="K394" i="25"/>
  <c r="H343" i="25"/>
  <c r="H391" i="25"/>
  <c r="F393" i="25"/>
  <c r="F345" i="25"/>
  <c r="J382" i="25"/>
  <c r="J334" i="25"/>
  <c r="D390" i="25"/>
  <c r="D342" i="25"/>
  <c r="K156" i="25" l="1"/>
  <c r="K167" i="25"/>
  <c r="K158" i="25"/>
  <c r="J335" i="25"/>
  <c r="J383" i="25"/>
  <c r="G344" i="25"/>
  <c r="G392" i="25"/>
  <c r="F346" i="25"/>
  <c r="F395" i="25" s="1"/>
  <c r="F347" i="25" s="1"/>
  <c r="F151" i="25" s="1"/>
  <c r="F153" i="25" s="1"/>
  <c r="F394" i="25"/>
  <c r="I337" i="25"/>
  <c r="I385" i="25"/>
  <c r="H344" i="25"/>
  <c r="H392" i="25"/>
  <c r="E345" i="25"/>
  <c r="E393" i="25"/>
  <c r="D391" i="25"/>
  <c r="D343" i="25"/>
  <c r="E346" i="25" l="1"/>
  <c r="E395" i="25" s="1"/>
  <c r="E347" i="25" s="1"/>
  <c r="E151" i="25" s="1"/>
  <c r="E153" i="25" s="1"/>
  <c r="E394" i="25"/>
  <c r="H345" i="25"/>
  <c r="H393" i="25"/>
  <c r="J384" i="25"/>
  <c r="J336" i="25"/>
  <c r="F158" i="25"/>
  <c r="F156" i="25"/>
  <c r="F167" i="25"/>
  <c r="G393" i="25"/>
  <c r="G345" i="25"/>
  <c r="K159" i="25"/>
  <c r="K160" i="25" s="1"/>
  <c r="K161" i="25"/>
  <c r="I386" i="25"/>
  <c r="I338" i="25"/>
  <c r="D392" i="25"/>
  <c r="D344" i="25"/>
  <c r="K162" i="25" l="1"/>
  <c r="K164" i="25" s="1"/>
  <c r="K293" i="25" s="1"/>
  <c r="K295" i="25" s="1"/>
  <c r="I387" i="25"/>
  <c r="I339" i="25"/>
  <c r="F159" i="25"/>
  <c r="F160" i="25" s="1"/>
  <c r="F162" i="25" s="1"/>
  <c r="F164" i="25" s="1"/>
  <c r="F161" i="25"/>
  <c r="J337" i="25"/>
  <c r="J385" i="25"/>
  <c r="K165" i="25"/>
  <c r="K166" i="25"/>
  <c r="K168" i="25" s="1"/>
  <c r="K169" i="25" s="1"/>
  <c r="K174" i="25" s="1"/>
  <c r="G394" i="25"/>
  <c r="G346" i="25"/>
  <c r="G395" i="25" s="1"/>
  <c r="G347" i="25" s="1"/>
  <c r="G151" i="25" s="1"/>
  <c r="G153" i="25" s="1"/>
  <c r="H394" i="25"/>
  <c r="H346" i="25"/>
  <c r="H395" i="25" s="1"/>
  <c r="H347" i="25" s="1"/>
  <c r="H151" i="25" s="1"/>
  <c r="H153" i="25" s="1"/>
  <c r="E158" i="25"/>
  <c r="E167" i="25"/>
  <c r="E156" i="25"/>
  <c r="D393" i="25"/>
  <c r="D345" i="25"/>
  <c r="E161" i="25" l="1"/>
  <c r="E159" i="25"/>
  <c r="E160" i="25" s="1"/>
  <c r="E162" i="25" s="1"/>
  <c r="E164" i="25" s="1"/>
  <c r="J338" i="25"/>
  <c r="J386" i="25"/>
  <c r="H158" i="25"/>
  <c r="H167" i="25"/>
  <c r="H156" i="25"/>
  <c r="G156" i="25"/>
  <c r="G167" i="25"/>
  <c r="G158" i="25"/>
  <c r="I340" i="25"/>
  <c r="I388" i="25"/>
  <c r="F166" i="25"/>
  <c r="F168" i="25" s="1"/>
  <c r="F169" i="25" s="1"/>
  <c r="F174" i="25" s="1"/>
  <c r="F165" i="25"/>
  <c r="F293" i="25"/>
  <c r="F295" i="25" s="1"/>
  <c r="K287" i="25"/>
  <c r="K290" i="25" s="1"/>
  <c r="K175" i="25"/>
  <c r="K176" i="25"/>
  <c r="D394" i="25"/>
  <c r="D346" i="25"/>
  <c r="D395" i="25" s="1"/>
  <c r="D347" i="25" s="1"/>
  <c r="D151" i="25" s="1"/>
  <c r="D153" i="25" s="1"/>
  <c r="F176" i="25" l="1"/>
  <c r="F175" i="25"/>
  <c r="F287" i="25"/>
  <c r="F290" i="25" s="1"/>
  <c r="H159" i="25"/>
  <c r="H160" i="25" s="1"/>
  <c r="H162" i="25" s="1"/>
  <c r="H164" i="25" s="1"/>
  <c r="H161" i="25"/>
  <c r="I341" i="25"/>
  <c r="I389" i="25"/>
  <c r="J387" i="25"/>
  <c r="J339" i="25"/>
  <c r="E166" i="25"/>
  <c r="E168" i="25" s="1"/>
  <c r="E169" i="25" s="1"/>
  <c r="E174" i="25" s="1"/>
  <c r="E165" i="25"/>
  <c r="G159" i="25"/>
  <c r="G160" i="25" s="1"/>
  <c r="G161" i="25"/>
  <c r="E293" i="25"/>
  <c r="E295" i="25" s="1"/>
  <c r="D158" i="25"/>
  <c r="D156" i="25"/>
  <c r="D167" i="25"/>
  <c r="G162" i="25" l="1"/>
  <c r="G164" i="25" s="1"/>
  <c r="G165" i="25" s="1"/>
  <c r="H166" i="25"/>
  <c r="H168" i="25" s="1"/>
  <c r="H169" i="25" s="1"/>
  <c r="H174" i="25" s="1"/>
  <c r="H165" i="25"/>
  <c r="E176" i="25"/>
  <c r="E175" i="25"/>
  <c r="E287" i="25"/>
  <c r="E290" i="25" s="1"/>
  <c r="J340" i="25"/>
  <c r="J388" i="25"/>
  <c r="G293" i="25"/>
  <c r="G295" i="25" s="1"/>
  <c r="I342" i="25"/>
  <c r="I390" i="25"/>
  <c r="H293" i="25"/>
  <c r="H295" i="25" s="1"/>
  <c r="D161" i="25"/>
  <c r="D159" i="25"/>
  <c r="D160" i="25" s="1"/>
  <c r="D162" i="25" l="1"/>
  <c r="D164" i="25" s="1"/>
  <c r="G166" i="25"/>
  <c r="G168" i="25" s="1"/>
  <c r="G169" i="25" s="1"/>
  <c r="G174" i="25" s="1"/>
  <c r="J341" i="25"/>
  <c r="J389" i="25"/>
  <c r="I391" i="25"/>
  <c r="I343" i="25"/>
  <c r="H175" i="25"/>
  <c r="H176" i="25"/>
  <c r="H287" i="25"/>
  <c r="H290" i="25" s="1"/>
  <c r="G175" i="25"/>
  <c r="G176" i="25"/>
  <c r="G287" i="25"/>
  <c r="G290" i="25" s="1"/>
  <c r="D166" i="25"/>
  <c r="D168" i="25" s="1"/>
  <c r="D169" i="25" s="1"/>
  <c r="D174" i="25" s="1"/>
  <c r="D165" i="25"/>
  <c r="D293" i="25"/>
  <c r="D295" i="25" s="1"/>
  <c r="I392" i="25" l="1"/>
  <c r="I344" i="25"/>
  <c r="J342" i="25"/>
  <c r="J390" i="25"/>
  <c r="D287" i="25"/>
  <c r="D290" i="25" s="1"/>
  <c r="D175" i="25"/>
  <c r="D176" i="25"/>
  <c r="J343" i="25" l="1"/>
  <c r="J391" i="25"/>
  <c r="I345" i="25"/>
  <c r="I393" i="25"/>
  <c r="I394" i="25" l="1"/>
  <c r="I346" i="25"/>
  <c r="I395" i="25" s="1"/>
  <c r="I347" i="25" s="1"/>
  <c r="I151" i="25" s="1"/>
  <c r="I153" i="25" s="1"/>
  <c r="J392" i="25"/>
  <c r="J344" i="25"/>
  <c r="J393" i="25" l="1"/>
  <c r="J345" i="25"/>
  <c r="I167" i="25"/>
  <c r="I156" i="25"/>
  <c r="I158" i="25"/>
  <c r="I159" i="25" l="1"/>
  <c r="I160" i="25" s="1"/>
  <c r="I161" i="25"/>
  <c r="J346" i="25"/>
  <c r="J395" i="25" s="1"/>
  <c r="J347" i="25" s="1"/>
  <c r="J151" i="25" s="1"/>
  <c r="J153" i="25" s="1"/>
  <c r="J394" i="25"/>
  <c r="I162" i="25" l="1"/>
  <c r="I164" i="25" s="1"/>
  <c r="I293" i="25" s="1"/>
  <c r="I295" i="25" s="1"/>
  <c r="J156" i="25"/>
  <c r="J167" i="25"/>
  <c r="J158" i="25"/>
  <c r="I166" i="25" l="1"/>
  <c r="I168" i="25" s="1"/>
  <c r="I169" i="25" s="1"/>
  <c r="I174" i="25" s="1"/>
  <c r="I287" i="25" s="1"/>
  <c r="I290" i="25" s="1"/>
  <c r="I165" i="25"/>
  <c r="I175" i="25"/>
  <c r="I176" i="25"/>
  <c r="J161" i="25"/>
  <c r="J159" i="25"/>
  <c r="J160" i="25" s="1"/>
  <c r="J162" i="25" l="1"/>
  <c r="J164" i="25" s="1"/>
  <c r="J293" i="25" s="1"/>
  <c r="J295" i="25" s="1"/>
  <c r="J165" i="25"/>
  <c r="J166" i="25"/>
  <c r="J168" i="25" s="1"/>
  <c r="J169" i="25" s="1"/>
  <c r="J174" i="25" s="1"/>
  <c r="J287" i="25" l="1"/>
  <c r="J290" i="25" s="1"/>
  <c r="J176" i="25"/>
  <c r="J175" i="25"/>
  <c r="D87" i="25" l="1"/>
  <c r="E87" i="25"/>
  <c r="F87" i="25"/>
  <c r="G87" i="25"/>
  <c r="H87" i="25"/>
  <c r="I87" i="25"/>
  <c r="J87" i="25"/>
  <c r="K87" i="25"/>
  <c r="L87" i="25"/>
  <c r="M87" i="25"/>
  <c r="N87" i="25"/>
  <c r="O87" i="25"/>
  <c r="P87" i="25"/>
  <c r="D88" i="25"/>
  <c r="E88" i="25"/>
  <c r="F88" i="25"/>
  <c r="G88" i="25"/>
  <c r="H88" i="25"/>
  <c r="I88" i="25"/>
  <c r="J88" i="25"/>
  <c r="K88" i="25"/>
  <c r="L88" i="25"/>
  <c r="M88" i="25"/>
  <c r="N88" i="25"/>
  <c r="O88" i="25"/>
  <c r="P88" i="25"/>
  <c r="Q88" i="25"/>
  <c r="R88" i="25"/>
  <c r="S88" i="25"/>
  <c r="T88" i="25"/>
  <c r="U88" i="25"/>
  <c r="D89" i="25"/>
  <c r="E89" i="25"/>
  <c r="F89" i="25"/>
  <c r="G89" i="25"/>
  <c r="H89" i="25"/>
  <c r="I89" i="25"/>
  <c r="J89" i="25"/>
  <c r="K89" i="25"/>
  <c r="L89" i="25"/>
  <c r="M89" i="25"/>
  <c r="N89" i="25"/>
  <c r="O89" i="25"/>
  <c r="P89" i="25"/>
  <c r="Q89" i="25"/>
  <c r="R89" i="25"/>
  <c r="S89" i="25"/>
  <c r="T89" i="25"/>
  <c r="U89" i="25"/>
  <c r="D90" i="25"/>
  <c r="E90" i="25"/>
  <c r="F90" i="25"/>
  <c r="G90" i="25"/>
  <c r="H90" i="25"/>
  <c r="I90" i="25"/>
  <c r="J90" i="25"/>
  <c r="K90" i="25"/>
  <c r="L90" i="25"/>
  <c r="M90" i="25"/>
  <c r="N90" i="25"/>
  <c r="O90" i="25"/>
  <c r="P90" i="25"/>
  <c r="Q90" i="25"/>
  <c r="R90" i="25"/>
  <c r="S90" i="25"/>
  <c r="T90" i="25"/>
  <c r="U90" i="25"/>
  <c r="D91" i="25"/>
  <c r="E91" i="25"/>
  <c r="F91" i="25"/>
  <c r="G91" i="25"/>
  <c r="H91" i="25"/>
  <c r="I91" i="25"/>
  <c r="J91" i="25"/>
  <c r="K91" i="25"/>
  <c r="L91" i="25"/>
  <c r="M91" i="25"/>
  <c r="N91" i="25"/>
  <c r="O91" i="25"/>
  <c r="P91" i="25"/>
  <c r="Q91" i="25"/>
  <c r="R91" i="25"/>
  <c r="S91" i="25"/>
  <c r="T91" i="25"/>
  <c r="U91" i="25"/>
  <c r="D92" i="25"/>
  <c r="E92" i="25"/>
  <c r="F92" i="25"/>
  <c r="G92" i="25"/>
  <c r="H92" i="25"/>
  <c r="I92" i="25"/>
  <c r="J92" i="25"/>
  <c r="K92" i="25"/>
  <c r="L92" i="25"/>
  <c r="M92" i="25"/>
  <c r="N92" i="25"/>
  <c r="O92" i="25"/>
  <c r="P92" i="25"/>
  <c r="Q92" i="25"/>
  <c r="R92" i="25"/>
  <c r="S92" i="25"/>
  <c r="T92" i="25"/>
  <c r="U92" i="25"/>
  <c r="D93" i="25"/>
  <c r="E93" i="25"/>
  <c r="F93" i="25"/>
  <c r="G93" i="25"/>
  <c r="H93" i="25"/>
  <c r="I93" i="25"/>
  <c r="J93" i="25"/>
  <c r="K93" i="25"/>
  <c r="L93" i="25"/>
  <c r="M93" i="25"/>
  <c r="N93" i="25"/>
  <c r="O93" i="25"/>
  <c r="P93" i="25"/>
  <c r="Q93" i="25"/>
  <c r="R93" i="25"/>
  <c r="S93" i="25"/>
  <c r="T93" i="25"/>
  <c r="U93" i="25"/>
  <c r="D94" i="25"/>
  <c r="E94" i="25"/>
  <c r="F94" i="25"/>
  <c r="G94" i="25"/>
  <c r="H94" i="25"/>
  <c r="I94" i="25"/>
  <c r="J94" i="25"/>
  <c r="K94" i="25"/>
  <c r="L94" i="25"/>
  <c r="M94" i="25"/>
  <c r="N94" i="25"/>
  <c r="O94" i="25"/>
  <c r="P94" i="25"/>
  <c r="Q94" i="25"/>
  <c r="R94" i="25"/>
  <c r="S94" i="25"/>
  <c r="T94" i="25"/>
  <c r="U94" i="25"/>
  <c r="D95" i="25"/>
  <c r="E95" i="25"/>
  <c r="F95" i="25"/>
  <c r="G95" i="25"/>
  <c r="H95" i="25"/>
  <c r="I95" i="25"/>
  <c r="J95" i="25"/>
  <c r="K95" i="25"/>
  <c r="L95" i="25"/>
  <c r="M95" i="25"/>
  <c r="N95" i="25"/>
  <c r="O95" i="25"/>
  <c r="P95" i="25"/>
  <c r="Q95" i="25"/>
  <c r="R95" i="25"/>
  <c r="S95" i="25"/>
  <c r="T95" i="25"/>
  <c r="U95" i="25"/>
  <c r="D96" i="25"/>
  <c r="E96" i="25"/>
  <c r="F96" i="25"/>
  <c r="G96" i="25"/>
  <c r="H96" i="25"/>
  <c r="I96" i="25"/>
  <c r="J96" i="25"/>
  <c r="K96" i="25"/>
  <c r="L96" i="25"/>
  <c r="M96" i="25"/>
  <c r="N96" i="25"/>
  <c r="O96" i="25"/>
  <c r="P96" i="25"/>
  <c r="Q96" i="25"/>
  <c r="R96" i="25"/>
  <c r="S96" i="25"/>
  <c r="T96" i="25"/>
  <c r="U96" i="25"/>
  <c r="D97" i="25"/>
  <c r="E97" i="25"/>
  <c r="F97" i="25"/>
  <c r="G97" i="25"/>
  <c r="H97" i="25"/>
  <c r="I97" i="25"/>
  <c r="J97" i="25"/>
  <c r="K97" i="25"/>
  <c r="L97" i="25"/>
  <c r="M97" i="25"/>
  <c r="N97" i="25"/>
  <c r="O97" i="25"/>
  <c r="P97" i="25"/>
  <c r="Q97" i="25"/>
  <c r="R97" i="25"/>
  <c r="S97" i="25"/>
  <c r="T97" i="25"/>
  <c r="U97" i="25"/>
  <c r="D98" i="25"/>
  <c r="E98" i="25"/>
  <c r="F98" i="25"/>
  <c r="G98" i="25"/>
  <c r="H98" i="25"/>
  <c r="I98" i="25"/>
  <c r="J98" i="25"/>
  <c r="K98" i="25"/>
  <c r="L98" i="25"/>
  <c r="M98" i="25"/>
  <c r="N98" i="25"/>
  <c r="O98" i="25"/>
  <c r="P98" i="25"/>
  <c r="Q98" i="25"/>
  <c r="R98" i="25"/>
  <c r="S98" i="25"/>
  <c r="T98" i="25"/>
  <c r="U98" i="25"/>
  <c r="D99" i="25"/>
  <c r="E99" i="25"/>
  <c r="F99" i="25"/>
  <c r="G99" i="25"/>
  <c r="H99" i="25"/>
  <c r="I99" i="25"/>
  <c r="J99" i="25"/>
  <c r="K99" i="25"/>
  <c r="L99" i="25"/>
  <c r="M99" i="25"/>
  <c r="N99" i="25"/>
  <c r="O99" i="25"/>
  <c r="P99" i="25"/>
  <c r="Q99" i="25"/>
  <c r="R99" i="25"/>
  <c r="S99" i="25"/>
  <c r="T99" i="25"/>
  <c r="U99" i="25"/>
  <c r="D100" i="25"/>
  <c r="E100" i="25"/>
  <c r="F100" i="25"/>
  <c r="G100" i="25"/>
  <c r="H100" i="25"/>
  <c r="I100" i="25"/>
  <c r="J100" i="25"/>
  <c r="K100" i="25"/>
  <c r="L100" i="25"/>
  <c r="M100" i="25"/>
  <c r="N100" i="25"/>
  <c r="O100" i="25"/>
  <c r="P100" i="25"/>
  <c r="Q100" i="25"/>
  <c r="R100" i="25"/>
  <c r="S100" i="25"/>
  <c r="T100" i="25"/>
  <c r="U100" i="25"/>
  <c r="D101" i="25"/>
  <c r="E101" i="25"/>
  <c r="F101" i="25"/>
  <c r="G101" i="25"/>
  <c r="H101" i="25"/>
  <c r="I101" i="25"/>
  <c r="J101" i="25"/>
  <c r="K101" i="25"/>
  <c r="L101" i="25"/>
  <c r="M101" i="25"/>
  <c r="N101" i="25"/>
  <c r="O101" i="25"/>
  <c r="P101" i="25"/>
  <c r="Q101" i="25"/>
  <c r="R101" i="25"/>
  <c r="S101" i="25"/>
  <c r="T101" i="25"/>
  <c r="U101" i="25"/>
  <c r="D102" i="25"/>
  <c r="E102" i="25"/>
  <c r="F102" i="25"/>
  <c r="G102" i="25"/>
  <c r="H102" i="25"/>
  <c r="I102" i="25"/>
  <c r="J102" i="25"/>
  <c r="K102" i="25"/>
  <c r="L102" i="25"/>
  <c r="M102" i="25"/>
  <c r="N102" i="25"/>
  <c r="O102" i="25"/>
  <c r="P102" i="25"/>
  <c r="Q102" i="25"/>
  <c r="R102" i="25"/>
  <c r="S102" i="25"/>
  <c r="T102" i="25"/>
  <c r="U102" i="25"/>
  <c r="D103" i="25"/>
  <c r="E103" i="25"/>
  <c r="F103" i="25"/>
  <c r="G103" i="25"/>
  <c r="H103" i="25"/>
  <c r="I103" i="25"/>
  <c r="J103" i="25"/>
  <c r="K103" i="25"/>
  <c r="L103" i="25"/>
  <c r="M103" i="25"/>
  <c r="N103" i="25"/>
  <c r="O103" i="25"/>
  <c r="P103" i="25"/>
  <c r="Q103" i="25"/>
  <c r="R103" i="25"/>
  <c r="S103" i="25"/>
  <c r="T103" i="25"/>
  <c r="U103" i="25"/>
  <c r="D104" i="25"/>
  <c r="E104" i="25"/>
  <c r="F104" i="25"/>
  <c r="G104" i="25"/>
  <c r="H104" i="25"/>
  <c r="I104" i="25"/>
  <c r="J104" i="25"/>
  <c r="K104" i="25"/>
  <c r="L104" i="25"/>
  <c r="M104" i="25"/>
  <c r="N104" i="25"/>
  <c r="O104" i="25"/>
  <c r="P104" i="25"/>
  <c r="Q104" i="25"/>
  <c r="R104" i="25"/>
  <c r="S104" i="25"/>
  <c r="T104" i="25"/>
  <c r="U104" i="25"/>
  <c r="D105" i="25" a="1"/>
  <c r="D105" i="25"/>
  <c r="E105" i="25" a="1"/>
  <c r="E105" i="25"/>
  <c r="F105" i="25" a="1"/>
  <c r="F105" i="25"/>
  <c r="G105" i="25" a="1"/>
  <c r="G105" i="25"/>
  <c r="H105" i="25" a="1"/>
  <c r="H105" i="25"/>
  <c r="I105" i="25" a="1"/>
  <c r="I105" i="25"/>
  <c r="J105" i="25" a="1"/>
  <c r="J105" i="25"/>
  <c r="K105" i="25" a="1"/>
  <c r="K105" i="25"/>
  <c r="L105" i="25" a="1"/>
  <c r="L105" i="25"/>
  <c r="M105" i="25" a="1"/>
  <c r="M105" i="25"/>
  <c r="N105" i="25" a="1"/>
  <c r="N105" i="25"/>
  <c r="O105" i="25" a="1"/>
  <c r="O105" i="25"/>
  <c r="P105" i="25" a="1"/>
  <c r="P105" i="25"/>
  <c r="X105" i="25"/>
  <c r="D108" i="25"/>
  <c r="E108" i="25"/>
  <c r="F108" i="25"/>
  <c r="G108" i="25"/>
  <c r="H108" i="25"/>
  <c r="I108" i="25"/>
  <c r="J108" i="25"/>
  <c r="K108" i="25"/>
  <c r="L108" i="25"/>
  <c r="M108" i="25"/>
  <c r="N108" i="25"/>
  <c r="O108" i="25"/>
  <c r="P108" i="25"/>
  <c r="D109" i="25" a="1"/>
  <c r="D109" i="25"/>
  <c r="E109" i="25" a="1"/>
  <c r="E109" i="25"/>
  <c r="F109" i="25" a="1"/>
  <c r="F109" i="25"/>
  <c r="G109" i="25" a="1"/>
  <c r="G109" i="25"/>
  <c r="H109" i="25" a="1"/>
  <c r="H109" i="25"/>
  <c r="I109" i="25" a="1"/>
  <c r="I109" i="25"/>
  <c r="J109" i="25" a="1"/>
  <c r="J109" i="25"/>
  <c r="K109" i="25" a="1"/>
  <c r="K109" i="25"/>
  <c r="L109" i="25" a="1"/>
  <c r="L109" i="25"/>
  <c r="M109" i="25" a="1"/>
  <c r="M109" i="25"/>
  <c r="N109" i="25" a="1"/>
  <c r="N109" i="25"/>
  <c r="O109" i="25" a="1"/>
  <c r="O109" i="25"/>
  <c r="P109" i="25" a="1"/>
  <c r="P109" i="25"/>
  <c r="Q109" i="25"/>
  <c r="R109" i="25"/>
  <c r="S109" i="25"/>
  <c r="T109" i="25"/>
  <c r="U109" i="25"/>
  <c r="X109" i="25"/>
  <c r="D110" i="25"/>
  <c r="E110" i="25"/>
  <c r="F110" i="25"/>
  <c r="G110" i="25"/>
  <c r="H110" i="25"/>
  <c r="I110" i="25"/>
  <c r="J110" i="25"/>
  <c r="K110" i="25"/>
  <c r="L110" i="25"/>
  <c r="M110" i="25"/>
  <c r="N110" i="25"/>
  <c r="O110" i="25"/>
  <c r="P110" i="25"/>
  <c r="Q110" i="25"/>
  <c r="R110" i="25"/>
  <c r="S110" i="25"/>
  <c r="T110" i="25"/>
  <c r="U110" i="25"/>
</calcChain>
</file>

<file path=xl/sharedStrings.xml><?xml version="1.0" encoding="utf-8"?>
<sst xmlns="http://schemas.openxmlformats.org/spreadsheetml/2006/main" count="486" uniqueCount="237">
  <si>
    <t>foros</t>
  </si>
  <si>
    <t>synolo =</t>
  </si>
  <si>
    <t>f.p.a. =</t>
  </si>
  <si>
    <t>plhroteo =</t>
  </si>
  <si>
    <t>telos epit</t>
  </si>
  <si>
    <t>KS</t>
  </si>
  <si>
    <t>KYT</t>
  </si>
  <si>
    <t>KS ergdths</t>
  </si>
  <si>
    <t>epik</t>
  </si>
  <si>
    <t>efapx</t>
  </si>
  <si>
    <t>aforologhto</t>
  </si>
  <si>
    <t>meiosh 1.5%</t>
  </si>
  <si>
    <t>KYT ergdths</t>
  </si>
  <si>
    <t>epik ergdths</t>
  </si>
  <si>
    <t>ika ergdths</t>
  </si>
  <si>
    <t>efapx ergdths</t>
  </si>
  <si>
    <t>% ergdths</t>
  </si>
  <si>
    <t>mexri</t>
  </si>
  <si>
    <t>meiosh ana</t>
  </si>
  <si>
    <t>meiosh</t>
  </si>
  <si>
    <t>FOROLOGITEO</t>
  </si>
  <si>
    <t>parakrathsh forou=</t>
  </si>
  <si>
    <t>synolo krathseis</t>
  </si>
  <si>
    <t>amoives/etos</t>
  </si>
  <si>
    <t>parakrathsh-foros +/-</t>
  </si>
  <si>
    <t>eisf. All.</t>
  </si>
  <si>
    <t>TELIKO/mina</t>
  </si>
  <si>
    <t>KERDOS/mina</t>
  </si>
  <si>
    <t>prokat foroy 100% alla simpsif.=&gt; 0%</t>
  </si>
  <si>
    <t>%</t>
  </si>
  <si>
    <t>arthro 98</t>
  </si>
  <si>
    <t>asfalistikh ofeilh/mina</t>
  </si>
  <si>
    <t>megisto poso/mina gia krathseis</t>
  </si>
  <si>
    <t>vale 1 h 0</t>
  </si>
  <si>
    <t>krathseis ergdoths/etos</t>
  </si>
  <si>
    <t>% προσαρμογής</t>
  </si>
  <si>
    <t>foros/mina</t>
  </si>
  <si>
    <t>foros me aforologhto/mina</t>
  </si>
  <si>
    <t>eisf. All/mina</t>
  </si>
  <si>
    <t>epagelmatikos kindinos</t>
  </si>
  <si>
    <t>% ergazomenos</t>
  </si>
  <si>
    <t>+ epik syntaksh/mina</t>
  </si>
  <si>
    <t>KOSTOS ERGODOTH pro fpa</t>
  </si>
  <si>
    <t>mikta: AMOIVES, misthos / mina</t>
  </si>
  <si>
    <t>1 ean me FPA, 0 ean pro FPA</t>
  </si>
  <si>
    <t>adfalish apo eton</t>
  </si>
  <si>
    <t>1. &gt; 5etia, 2. 3-5etia, 3. 0-2etia</t>
  </si>
  <si>
    <t>Ασφαλιστέο από</t>
  </si>
  <si>
    <t>Ασφαλιστέο έως</t>
  </si>
  <si>
    <t>vale 1,2,3</t>
  </si>
  <si>
    <t>vale eth</t>
  </si>
  <si>
    <t>vale poso</t>
  </si>
  <si>
    <t>ekpipt. Eksoda / etos</t>
  </si>
  <si>
    <t>TELIKO-EKSODA=KERDOS</t>
  </si>
  <si>
    <t>synolo syntaksh/mina (mikta)</t>
  </si>
  <si>
    <t>TELIKO/etos (ME TA EKSODA)</t>
  </si>
  <si>
    <t>kerdos % epi kostous ergdth</t>
  </si>
  <si>
    <r>
      <t>(TELIKO-</t>
    </r>
    <r>
      <rPr>
        <sz val="8"/>
        <color rgb="FFFF0000"/>
        <rFont val="Arial"/>
        <family val="2"/>
        <charset val="161"/>
      </rPr>
      <t>ofeilh</t>
    </r>
    <r>
      <rPr>
        <sz val="8"/>
        <rFont val="Arial"/>
        <family val="2"/>
        <charset val="161"/>
      </rPr>
      <t>)/mina</t>
    </r>
  </si>
  <si>
    <t>TELIKO/MINA</t>
  </si>
  <si>
    <t xml:space="preserve"> % epi kostous ergdth</t>
  </si>
  <si>
    <t>12/14 mines</t>
  </si>
  <si>
    <t>vale mines</t>
  </si>
  <si>
    <t>eksoda/etos (&gt;=apo ta ekpipt.eksoda)</t>
  </si>
  <si>
    <t>+ apotamieysh</t>
  </si>
  <si>
    <t>eth aposveshs efapx &amp; apotamieyshs</t>
  </si>
  <si>
    <t>vale %</t>
  </si>
  <si>
    <t>synolo syntaksh/mina (mikta-ygeia)</t>
  </si>
  <si>
    <t>synolo syntaksh/mina (kathara)</t>
  </si>
  <si>
    <t>eth apo 15 eton</t>
  </si>
  <si>
    <t>-ygeia%</t>
  </si>
  <si>
    <t>hmeromhnia genishs</t>
  </si>
  <si>
    <t>hmeromhnia enarkshs asfalishs</t>
  </si>
  <si>
    <t>vale hmer.</t>
  </si>
  <si>
    <t>hmeromhnia aithshs gia syntaksh</t>
  </si>
  <si>
    <t>% f.p.a.</t>
  </si>
  <si>
    <t>% parakrathsh forou</t>
  </si>
  <si>
    <t>eth nomimh/monimh diamonh Ellada apo 15 eton</t>
  </si>
  <si>
    <t>DX</t>
  </si>
  <si>
    <t>ethnikh syntaksh sta 20 eth asfalishs</t>
  </si>
  <si>
    <t>12/14 mines (syntaksh = 12)</t>
  </si>
  <si>
    <t>hlikia aposveshs</t>
  </si>
  <si>
    <t>dineis (krathseis+foroi)</t>
  </si>
  <si>
    <t>apodosh</t>
  </si>
  <si>
    <t>&gt; 5etia, 3-5etia, 0-2etia KS =</t>
  </si>
  <si>
    <r>
      <t>elaxisto poso/mina gia krathseis (</t>
    </r>
    <r>
      <rPr>
        <sz val="8"/>
        <color rgb="FFFF0000"/>
        <rFont val="Arial"/>
        <family val="2"/>
        <charset val="161"/>
      </rPr>
      <t>vash</t>
    </r>
    <r>
      <rPr>
        <sz val="8"/>
        <rFont val="Arial"/>
        <family val="2"/>
        <charset val="161"/>
      </rPr>
      <t>)</t>
    </r>
  </si>
  <si>
    <t>&gt; 5etia, 3-5etia, 0-2etia, &gt;25, &lt;25 vash =</t>
  </si>
  <si>
    <t>vale 1, 0</t>
  </si>
  <si>
    <t>krathseis ergdoths/mina (min/max vash)</t>
  </si>
  <si>
    <t>krathseis ergdoths/etos (min/max vash)</t>
  </si>
  <si>
    <t>vash ergodot. gia krathseis /mina</t>
  </si>
  <si>
    <t>1. ean &gt; 25 eton, 0. ean &lt;25 eton</t>
  </si>
  <si>
    <t>aforologhto (1900, 1250)</t>
  </si>
  <si>
    <t>parallhlh</t>
  </si>
  <si>
    <t>ASFALISTEO /mina</t>
  </si>
  <si>
    <t>paeallhlh: 1. ean emporikh idiothta, 0. ean oxi</t>
  </si>
  <si>
    <t>parallhlh short max 1</t>
  </si>
  <si>
    <t>parallhlh short max 2</t>
  </si>
  <si>
    <t>parallhlh short max 3</t>
  </si>
  <si>
    <t>parallhlh short max 4</t>
  </si>
  <si>
    <t>parallhlh short max 5</t>
  </si>
  <si>
    <t>parallhlh short max 6</t>
  </si>
  <si>
    <t>parallhlh short max 7</t>
  </si>
  <si>
    <t>parallhlh sum misth+mh.mhsth. &lt;=max vash</t>
  </si>
  <si>
    <t>parallhlh sum misth+mh.mhsth. &gt;=min vash</t>
  </si>
  <si>
    <t>parallhlh apodoxes ergaz.</t>
  </si>
  <si>
    <t>parallhlh apodoxes ergaz. Epik efap&gt;=min vash</t>
  </si>
  <si>
    <t>parallhlh vash ergazom. gia krathseis /mina</t>
  </si>
  <si>
    <t>parallhlh vash ergodot.</t>
  </si>
  <si>
    <t>1. ean parallhlh asfalish, 0. ean oxi</t>
  </si>
  <si>
    <t>ika</t>
  </si>
  <si>
    <t>arthro 98 meiosh</t>
  </si>
  <si>
    <t>krathseis/etos -arthro 98</t>
  </si>
  <si>
    <t>parallhlh short max 8</t>
  </si>
  <si>
    <t>parallhlh short max 9</t>
  </si>
  <si>
    <t>parallhlh short max 10</t>
  </si>
  <si>
    <t>parallhlh short max 11</t>
  </si>
  <si>
    <t>parallhlh short max 12</t>
  </si>
  <si>
    <t>parallhlh short max 13</t>
  </si>
  <si>
    <t>parallhlh short max 14</t>
  </si>
  <si>
    <t>parallhlh foreis asfalishs</t>
  </si>
  <si>
    <t>parallhlh foreis asfalishs=min vash</t>
  </si>
  <si>
    <t>parallhlh 1. 1h efarmogh = 50%-50%, 0. kanonika</t>
  </si>
  <si>
    <t>eth</t>
  </si>
  <si>
    <t>ethnikh syntaksh sta 15 eth asfalishs=90%</t>
  </si>
  <si>
    <t>melh OAE</t>
  </si>
  <si>
    <t>vale melh</t>
  </si>
  <si>
    <t>50%-50% epilogh</t>
  </si>
  <si>
    <t xml:space="preserve"> LAE 0.25% gia OGA</t>
  </si>
  <si>
    <t>TELIKO/MINA parallhlh</t>
  </si>
  <si>
    <t>ASFALISTEO ( h' meses(&gt;=2002) synta/mes apod/es / etos)</t>
  </si>
  <si>
    <t>+ efapx &lt;=31/12/13</t>
  </si>
  <si>
    <t>eth adfalishs ana periptosh (=B&lt;=A)</t>
  </si>
  <si>
    <t>KERDOS/MINA parallhlh</t>
  </si>
  <si>
    <t>synolo syntaksh/mina (kathara) parallhlh</t>
  </si>
  <si>
    <t>+ efapx &gt;=1/1/14</t>
  </si>
  <si>
    <t>OAEE-Ταe</t>
  </si>
  <si>
    <t>OAEE-ΤeΒe</t>
  </si>
  <si>
    <t>OAEE-ΤΑΠeΑΠΙ</t>
  </si>
  <si>
    <t>epilogh forea oaee (1. syntaksh 0. prosayksish), (eth synolo)</t>
  </si>
  <si>
    <t>epilogh forea tsay (1. syntaksh 0. prosayksish), (eth synolo)</t>
  </si>
  <si>
    <t>epilogh forea oga (1. syntaksh 0. prosayksish), (eth synolo)</t>
  </si>
  <si>
    <t>epilogh forea ika (1. syntaksh 0. prosayksish), (eth synolo)</t>
  </si>
  <si>
    <t>&lt;--vale eth&lt;=A</t>
  </si>
  <si>
    <t>Dx epikourikhs (vasei ilikias)</t>
  </si>
  <si>
    <t>vale eth-&gt;</t>
  </si>
  <si>
    <t>to pragmatiko synolo ton eton ston forea</t>
  </si>
  <si>
    <t>suntaksh % epi asfalisteou (vasei eton asf. Epilogh 1)</t>
  </si>
  <si>
    <t>eth foreas oaee</t>
  </si>
  <si>
    <t>eth foreas tsay</t>
  </si>
  <si>
    <t>eth foreas oga</t>
  </si>
  <si>
    <t>eth foreas ika</t>
  </si>
  <si>
    <t>suntaksh % epi asfalisteou (vasei eton asf. B)</t>
  </si>
  <si>
    <t>eth mexri aithsh syntakshs (A)</t>
  </si>
  <si>
    <t>eth adfalishs epilogh 1</t>
  </si>
  <si>
    <t>% me prosayksish</t>
  </si>
  <si>
    <t>eth adfalishs gia ethnikh syntaksh</t>
  </si>
  <si>
    <t>OAED 120€/etos (tsay OAED+ESY 24€/etos)</t>
  </si>
  <si>
    <t>telos epit/etos (EE 650€, me aforol. 500€, allo?)</t>
  </si>
  <si>
    <t>+ antap. sintaksh/mina</t>
  </si>
  <si>
    <t>ethnikh syntaksh/mina</t>
  </si>
  <si>
    <t>tsmede</t>
  </si>
  <si>
    <t>TN</t>
  </si>
  <si>
    <t>tsay</t>
  </si>
  <si>
    <t>k.p./m</t>
  </si>
  <si>
    <t>oaee</t>
  </si>
  <si>
    <t>oaee-tsa</t>
  </si>
  <si>
    <t>max syntaksh (antapod. + ethnikh)=2000, parallhlh=3000</t>
  </si>
  <si>
    <t>foreas oaee meso asfalisteo/mina (12mino)</t>
  </si>
  <si>
    <t>foreas tsay meso asfalisteo/mina (12mino)</t>
  </si>
  <si>
    <t>foreas oga meso asfalisteo/mina (12mino)</t>
  </si>
  <si>
    <t>foreas ika meso asfalisteo/mina (12mino)</t>
  </si>
  <si>
    <t>foreas oaee meso asfalisteo/mina (epik., Efap.) (12mino)</t>
  </si>
  <si>
    <t>foreas tsay meso asfalisteo/mina (epik., Efap.) (12mino)</t>
  </si>
  <si>
    <t>foreas oga meso asfalisteo/mina (epik., Efap.) (12mino)</t>
  </si>
  <si>
    <t>foreas ika meso asfalisteo/mina (epik., Efap.) (12mino)</t>
  </si>
  <si>
    <r>
      <t xml:space="preserve">synolo </t>
    </r>
    <r>
      <rPr>
        <b/>
        <i/>
        <sz val="8"/>
        <color theme="1" tint="0.249977111117893"/>
        <rFont val="Arial"/>
        <family val="2"/>
        <charset val="161"/>
      </rPr>
      <t>ethnikh</t>
    </r>
    <r>
      <rPr>
        <i/>
        <sz val="8"/>
        <color theme="1" tint="0.249977111117893"/>
        <rFont val="Arial"/>
        <family val="2"/>
        <charset val="161"/>
      </rPr>
      <t xml:space="preserve"> syntaksh/mina</t>
    </r>
  </si>
  <si>
    <r>
      <t xml:space="preserve">synolo </t>
    </r>
    <r>
      <rPr>
        <b/>
        <i/>
        <sz val="8"/>
        <color theme="1" tint="0.249977111117893"/>
        <rFont val="Arial"/>
        <family val="2"/>
        <charset val="161"/>
      </rPr>
      <t>antapodotikh</t>
    </r>
    <r>
      <rPr>
        <i/>
        <sz val="8"/>
        <color theme="1" tint="0.249977111117893"/>
        <rFont val="Arial"/>
        <family val="2"/>
        <charset val="161"/>
      </rPr>
      <t xml:space="preserve"> syntaksh/mina</t>
    </r>
  </si>
  <si>
    <r>
      <rPr>
        <b/>
        <i/>
        <sz val="8"/>
        <color theme="1" tint="0.249977111117893"/>
        <rFont val="Arial"/>
        <family val="2"/>
        <charset val="161"/>
      </rPr>
      <t>epik</t>
    </r>
    <r>
      <rPr>
        <i/>
        <sz val="8"/>
        <color theme="1" tint="0.249977111117893"/>
        <rFont val="Arial"/>
        <family val="2"/>
        <charset val="161"/>
      </rPr>
      <t xml:space="preserve"> syntaksh/mina &lt;=31/12/14</t>
    </r>
  </si>
  <si>
    <r>
      <rPr>
        <b/>
        <i/>
        <sz val="8"/>
        <color theme="1" tint="0.249977111117893"/>
        <rFont val="Arial"/>
        <family val="2"/>
        <charset val="161"/>
      </rPr>
      <t>epik</t>
    </r>
    <r>
      <rPr>
        <i/>
        <sz val="8"/>
        <color theme="1" tint="0.249977111117893"/>
        <rFont val="Arial"/>
        <family val="2"/>
        <charset val="161"/>
      </rPr>
      <t xml:space="preserve"> syntaksh/mina &gt;=1/1/15</t>
    </r>
  </si>
  <si>
    <t>prosayksish % epi asfalisteou (vasei eton asf. Epiloges 0)</t>
  </si>
  <si>
    <t>epilogh foreas oaee</t>
  </si>
  <si>
    <t>epilogh foreas tsay</t>
  </si>
  <si>
    <t>epilogh foreas oga</t>
  </si>
  <si>
    <t>epilogh foreas ika</t>
  </si>
  <si>
    <t>% sto synolo</t>
  </si>
  <si>
    <t>% sthn antapodotikh</t>
  </si>
  <si>
    <t>.</t>
  </si>
  <si>
    <t>0=stoys ypoloipous</t>
  </si>
  <si>
    <t>1=se ana forea</t>
  </si>
  <si>
    <t>parallhlh short max 15</t>
  </si>
  <si>
    <t>eth foreas TN</t>
  </si>
  <si>
    <t>epilogh forea TN (1. syntaksh 0. prosayksish), (eth synolo)</t>
  </si>
  <si>
    <t>eth foreas tsmede</t>
  </si>
  <si>
    <t>epilogh forea tsmede (1. syntaksh 0. prosayksish), (eth synolo)</t>
  </si>
  <si>
    <t>epilogh foreas TN</t>
  </si>
  <si>
    <t>epilogh foreas tsmede</t>
  </si>
  <si>
    <t>foreas tsmede meso asfalisteo/mina (12mino)</t>
  </si>
  <si>
    <t>foreas TN meso asfalisteo/mina (12mino)</t>
  </si>
  <si>
    <t>foreas tsmede meso asfalisteo/mina (epik., Efap.) (12mino)</t>
  </si>
  <si>
    <t>foreas TN meso asfalisteo/mina (epik., Efap.) (12mino)</t>
  </si>
  <si>
    <t>parallhlh short max 16</t>
  </si>
  <si>
    <t>parallhlh short max 17</t>
  </si>
  <si>
    <t>!</t>
  </si>
  <si>
    <t>ektimhseis: kerdos</t>
  </si>
  <si>
    <t>ektimhseis: syntaksh</t>
  </si>
  <si>
    <t>eth foreas dimosio</t>
  </si>
  <si>
    <t>epilogh forea dimosio (1. syntaksh 0. prosayksish), (eth synolo)</t>
  </si>
  <si>
    <t>epilogh foreas dimosio</t>
  </si>
  <si>
    <t>foreas dimosio meso asfalisteo/mina (12mino)</t>
  </si>
  <si>
    <t>foreas dimosio meso asfalisteo/mina (epik., Efap.) (12mino)</t>
  </si>
  <si>
    <t>meso poso / mina (kathara &amp; aposvesh)</t>
  </si>
  <si>
    <t>poso / mina (kathara &amp; aposvesh) parallhlh</t>
  </si>
  <si>
    <t>eth tsmede Eid.Pros./tsay Klad.Monosyd. Mexri 31/12/15 (=C&lt;=B)</t>
  </si>
  <si>
    <t>eth tsmede Eid.Pros./tsay Klad.Monosyd. Mexri 31/12/15 (&lt;=C)</t>
  </si>
  <si>
    <t>perneis (syntaksh apodoxes)</t>
  </si>
  <si>
    <t>apodosh parallhlh</t>
  </si>
  <si>
    <t>&gt;5tia</t>
  </si>
  <si>
    <t>OLD, mono</t>
  </si>
  <si>
    <t>EE tsay %
x KS</t>
  </si>
  <si>
    <t>&lt;5tia</t>
  </si>
  <si>
    <t>NEW, mono</t>
  </si>
  <si>
    <t>EE tsay %
x KS 1h kat</t>
  </si>
  <si>
    <t>EE tsay %
x KS 2h kat</t>
  </si>
  <si>
    <t>+ koin. poroi /mina</t>
  </si>
  <si>
    <t>+ pros. synt./mina</t>
  </si>
  <si>
    <t>+ eid.Pros./klad.monosyd./mina</t>
  </si>
  <si>
    <r>
      <rPr>
        <b/>
        <i/>
        <sz val="8"/>
        <color theme="1" tint="0.249977111117893"/>
        <rFont val="Arial"/>
        <family val="2"/>
        <charset val="161"/>
      </rPr>
      <t>tsmede eid.pros.</t>
    </r>
    <r>
      <rPr>
        <i/>
        <sz val="8"/>
        <color theme="1" tint="0.249977111117893"/>
        <rFont val="Arial"/>
        <family val="2"/>
        <charset val="161"/>
      </rPr>
      <t>/mina</t>
    </r>
  </si>
  <si>
    <r>
      <rPr>
        <b/>
        <i/>
        <sz val="8"/>
        <color theme="1" tint="0.249977111117893"/>
        <rFont val="Arial"/>
        <family val="2"/>
        <charset val="161"/>
      </rPr>
      <t>tsay klad.monosyd.</t>
    </r>
    <r>
      <rPr>
        <i/>
        <sz val="8"/>
        <color theme="1" tint="0.249977111117893"/>
        <rFont val="Arial"/>
        <family val="2"/>
        <charset val="161"/>
      </rPr>
      <t>/mina</t>
    </r>
  </si>
  <si>
    <r>
      <rPr>
        <b/>
        <i/>
        <sz val="8"/>
        <color theme="1" tint="0.249977111117893"/>
        <rFont val="Arial"/>
        <family val="2"/>
        <charset val="161"/>
      </rPr>
      <t>prosayksish</t>
    </r>
    <r>
      <rPr>
        <i/>
        <sz val="8"/>
        <color theme="1" tint="0.249977111117893"/>
        <rFont val="Arial"/>
        <family val="2"/>
        <charset val="161"/>
      </rPr>
      <t xml:space="preserve"> syntakshs/mina</t>
    </r>
  </si>
  <si>
    <r>
      <t xml:space="preserve">synolo </t>
    </r>
    <r>
      <rPr>
        <b/>
        <i/>
        <sz val="8"/>
        <color theme="1" tint="0.249977111117893"/>
        <rFont val="Arial"/>
        <family val="2"/>
        <charset val="161"/>
      </rPr>
      <t>koin. poroi</t>
    </r>
    <r>
      <rPr>
        <i/>
        <sz val="8"/>
        <color theme="1" tint="0.249977111117893"/>
        <rFont val="Arial"/>
        <family val="2"/>
        <charset val="161"/>
      </rPr>
      <t>/mina</t>
    </r>
  </si>
  <si>
    <t>parallhlh short max 18</t>
  </si>
  <si>
    <t>modif</t>
  </si>
  <si>
    <t>krathseis+oaed/mina (min/max vash, 20%)</t>
  </si>
  <si>
    <t>krathseis+oaed/etos (min/max vash, 20%)</t>
  </si>
  <si>
    <t>!modif</t>
  </si>
  <si>
    <r>
      <t>elaxisto poso/mina krathseis (</t>
    </r>
    <r>
      <rPr>
        <sz val="8"/>
        <color rgb="FFFF0000"/>
        <rFont val="Arial"/>
        <family val="2"/>
        <charset val="161"/>
      </rPr>
      <t>vash*20%</t>
    </r>
    <r>
      <rPr>
        <sz val="8"/>
        <rFont val="Arial"/>
        <family val="2"/>
        <charset val="161"/>
      </rPr>
      <t>)</t>
    </r>
  </si>
  <si>
    <t>cntrl+shift+enter = {values} ( some cells)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</si>
</sst>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(* #,##0.00_);_(* \(#,##0.00\);_(* &quot;-&quot;??_);_(@_)"/>
    <numFmt numFmtId="165" formatCode="0.0%"/>
    <numFmt numFmtId="166" formatCode="#,##0.00\ &quot;€&quot;"/>
    <numFmt numFmtId="167" formatCode="#,##0\ &quot;€&quot;"/>
    <numFmt numFmtId="168" formatCode="#,##0.0\ &quot;€&quot;"/>
    <numFmt numFmtId="169" formatCode="#,##0.000"/>
    <numFmt numFmtId="170" formatCode="0.000"/>
    <numFmt numFmtId="171" formatCode="0.0E+00"/>
    <numFmt numFmtId="172" formatCode="#,##0.00000\ &quot;€&quot;"/>
  </numFmts>
  <fonts count="46">
    <font>
      <sz val="8"/>
      <name val="Arial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i/>
      <sz val="8"/>
      <name val="Arial"/>
      <family val="2"/>
      <charset val="161"/>
    </font>
    <font>
      <b/>
      <sz val="11"/>
      <color theme="0"/>
      <name val="Calibri"/>
      <family val="2"/>
      <charset val="161"/>
      <scheme val="minor"/>
    </font>
    <font>
      <i/>
      <sz val="11"/>
      <color rgb="FF7F7F7F"/>
      <name val="Calibri"/>
      <family val="2"/>
      <charset val="161"/>
      <scheme val="minor"/>
    </font>
    <font>
      <sz val="11"/>
      <color rgb="FF006100"/>
      <name val="Calibri"/>
      <family val="2"/>
      <charset val="161"/>
      <scheme val="minor"/>
    </font>
    <font>
      <sz val="8"/>
      <color rgb="FFFF0000"/>
      <name val="Arial"/>
      <family val="2"/>
      <charset val="161"/>
    </font>
    <font>
      <b/>
      <u/>
      <sz val="8"/>
      <name val="Arial"/>
      <family val="2"/>
      <charset val="161"/>
    </font>
    <font>
      <b/>
      <sz val="8"/>
      <name val="Calibri"/>
      <family val="2"/>
      <charset val="161"/>
      <scheme val="minor"/>
    </font>
    <font>
      <sz val="8"/>
      <name val="Calibri"/>
      <family val="2"/>
      <charset val="161"/>
      <scheme val="minor"/>
    </font>
    <font>
      <b/>
      <u/>
      <sz val="14"/>
      <color rgb="FFFFFF00"/>
      <name val="Arial"/>
      <family val="2"/>
      <charset val="161"/>
    </font>
    <font>
      <b/>
      <u/>
      <sz val="10"/>
      <color rgb="FFFFFF00"/>
      <name val="Calibri"/>
      <family val="2"/>
      <charset val="161"/>
      <scheme val="minor"/>
    </font>
    <font>
      <b/>
      <sz val="9"/>
      <name val="Arial"/>
      <family val="2"/>
      <charset val="161"/>
    </font>
    <font>
      <i/>
      <sz val="9"/>
      <name val="Arial"/>
      <family val="2"/>
      <charset val="161"/>
    </font>
    <font>
      <b/>
      <sz val="10"/>
      <name val="Arial"/>
      <family val="2"/>
      <charset val="161"/>
    </font>
    <font>
      <sz val="9"/>
      <name val="Arial"/>
      <family val="2"/>
      <charset val="161"/>
    </font>
    <font>
      <sz val="9"/>
      <color rgb="FFFFFF00"/>
      <name val="Arial"/>
      <family val="2"/>
      <charset val="161"/>
    </font>
    <font>
      <i/>
      <sz val="9"/>
      <color rgb="FF7F7F7F"/>
      <name val="Calibri"/>
      <family val="2"/>
      <charset val="161"/>
      <scheme val="minor"/>
    </font>
    <font>
      <i/>
      <sz val="8"/>
      <color rgb="FF7F7F7F"/>
      <name val="Calibri"/>
      <family val="2"/>
      <charset val="161"/>
      <scheme val="minor"/>
    </font>
    <font>
      <b/>
      <sz val="8"/>
      <color rgb="FF00B0F0"/>
      <name val="Arial"/>
      <family val="2"/>
      <charset val="161"/>
    </font>
    <font>
      <sz val="8"/>
      <color rgb="FFFFFF00"/>
      <name val="Arial"/>
      <family val="2"/>
      <charset val="161"/>
    </font>
    <font>
      <sz val="8"/>
      <color theme="3" tint="0.39997558519241921"/>
      <name val="Arial"/>
      <family val="2"/>
      <charset val="161"/>
    </font>
    <font>
      <sz val="8"/>
      <color rgb="FF336600"/>
      <name val="Arial"/>
      <family val="2"/>
      <charset val="161"/>
    </font>
    <font>
      <sz val="8"/>
      <color rgb="FF333333"/>
      <name val="Noto Sans"/>
    </font>
    <font>
      <i/>
      <sz val="8"/>
      <color theme="0" tint="-0.499984740745262"/>
      <name val="Arial"/>
      <family val="2"/>
      <charset val="161"/>
    </font>
    <font>
      <b/>
      <sz val="12"/>
      <color rgb="FFFFFF00"/>
      <name val="Arial"/>
      <family val="2"/>
      <charset val="161"/>
    </font>
    <font>
      <b/>
      <sz val="20"/>
      <color rgb="FFFFFF00"/>
      <name val="Arial"/>
      <family val="2"/>
      <charset val="161"/>
    </font>
    <font>
      <b/>
      <u/>
      <sz val="9"/>
      <name val="Calibri"/>
      <family val="2"/>
      <charset val="161"/>
      <scheme val="minor"/>
    </font>
    <font>
      <b/>
      <u/>
      <sz val="9"/>
      <name val="Arial"/>
      <family val="2"/>
      <charset val="161"/>
    </font>
    <font>
      <sz val="16"/>
      <color theme="4" tint="0.79998168889431442"/>
      <name val="Arial"/>
      <family val="2"/>
      <charset val="161"/>
    </font>
    <font>
      <b/>
      <i/>
      <sz val="8"/>
      <color rgb="FF7F7F7F"/>
      <name val="Calibri"/>
      <family val="2"/>
      <charset val="161"/>
      <scheme val="minor"/>
    </font>
    <font>
      <b/>
      <sz val="8"/>
      <color rgb="FFFF0000"/>
      <name val="Arial"/>
      <family val="2"/>
      <charset val="161"/>
    </font>
    <font>
      <sz val="11"/>
      <color rgb="FF222222"/>
      <name val="Verdana"/>
      <family val="2"/>
      <charset val="161"/>
    </font>
    <font>
      <sz val="10"/>
      <name val="Arial"/>
      <family val="2"/>
      <charset val="161"/>
    </font>
    <font>
      <i/>
      <sz val="8"/>
      <color theme="1" tint="0.249977111117893"/>
      <name val="Arial"/>
      <family val="2"/>
      <charset val="161"/>
    </font>
    <font>
      <b/>
      <i/>
      <sz val="8"/>
      <color theme="1" tint="0.249977111117893"/>
      <name val="Arial"/>
      <family val="2"/>
      <charset val="161"/>
    </font>
    <font>
      <b/>
      <i/>
      <sz val="9"/>
      <color rgb="FF7F7F7F"/>
      <name val="Calibri"/>
      <family val="2"/>
      <charset val="161"/>
      <scheme val="minor"/>
    </font>
    <font>
      <b/>
      <i/>
      <sz val="9"/>
      <name val="Arial"/>
      <family val="2"/>
      <charset val="161"/>
    </font>
    <font>
      <b/>
      <i/>
      <u/>
      <sz val="10"/>
      <color theme="4"/>
      <name val="Arial"/>
      <family val="2"/>
      <charset val="161"/>
    </font>
    <font>
      <b/>
      <i/>
      <sz val="8"/>
      <name val="Arial"/>
      <family val="2"/>
      <charset val="161"/>
    </font>
    <font>
      <i/>
      <sz val="8"/>
      <color theme="1" tint="0.14999847407452621"/>
      <name val="Arial"/>
      <family val="2"/>
      <charset val="161"/>
    </font>
    <font>
      <sz val="8"/>
      <color theme="1" tint="0.14999847407452621"/>
      <name val="Arial"/>
      <family val="2"/>
      <charset val="161"/>
    </font>
    <font>
      <sz val="8"/>
      <color theme="3" tint="-0.499984740745262"/>
      <name val="Arial"/>
      <family val="2"/>
      <charset val="161"/>
    </font>
    <font>
      <sz val="8"/>
      <color theme="4" tint="-0.499984740745262"/>
      <name val="Arial"/>
      <family val="2"/>
      <charset val="161"/>
    </font>
    <font>
      <sz val="8"/>
      <color theme="9" tint="-0.499984740745262"/>
      <name val="Arial"/>
      <family val="2"/>
      <charset val="161"/>
    </font>
  </fonts>
  <fills count="39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 diagonalUp="1" diagonalDown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 diagonalUp="1" diagonalDown="1"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 style="thin">
        <color rgb="FFFF0000"/>
      </diagonal>
    </border>
    <border diagonalUp="1" diagonalDown="1">
      <left style="thin">
        <color rgb="FFFF0000"/>
      </left>
      <right style="thin">
        <color rgb="FFFF0000"/>
      </right>
      <top style="thin">
        <color rgb="FFFF0000"/>
      </top>
      <bottom/>
      <diagonal style="thin">
        <color rgb="FFFF0000"/>
      </diagonal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theme="0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 diagonalUp="1" diagonalDown="1">
      <left style="thin">
        <color rgb="FFFF0000"/>
      </left>
      <right style="thin">
        <color indexed="64"/>
      </right>
      <top style="thin">
        <color rgb="FFFF0000"/>
      </top>
      <bottom style="thin">
        <color rgb="FFFF0000"/>
      </bottom>
      <diagonal style="thin">
        <color rgb="FFFF0000"/>
      </diagonal>
    </border>
    <border diagonalUp="1" diagonalDown="1">
      <left style="thin">
        <color indexed="64"/>
      </left>
      <right style="thin">
        <color indexed="64"/>
      </right>
      <top style="thin">
        <color rgb="FFFF0000"/>
      </top>
      <bottom style="thin">
        <color rgb="FFFF0000"/>
      </bottom>
      <diagonal style="thin">
        <color rgb="FFFF0000"/>
      </diagonal>
    </border>
  </borders>
  <cellStyleXfs count="6">
    <xf numFmtId="0" fontId="0" fillId="0" borderId="0"/>
    <xf numFmtId="0" fontId="4" fillId="3" borderId="4" applyNumberFormat="0" applyAlignment="0" applyProtection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4" borderId="0" applyNumberFormat="0" applyBorder="0" applyAlignment="0" applyProtection="0"/>
    <xf numFmtId="9" fontId="1" fillId="0" borderId="0" applyFont="0" applyFill="0" applyBorder="0" applyAlignment="0" applyProtection="0"/>
  </cellStyleXfs>
  <cellXfs count="439">
    <xf numFmtId="0" fontId="0" fillId="0" borderId="0" xfId="0"/>
    <xf numFmtId="1" fontId="1" fillId="8" borderId="1" xfId="0" applyNumberFormat="1" applyFont="1" applyFill="1" applyBorder="1" applyAlignment="1">
      <alignment horizontal="center" vertical="center" wrapText="1"/>
    </xf>
    <xf numFmtId="1" fontId="1" fillId="12" borderId="1" xfId="0" applyNumberFormat="1" applyFont="1" applyFill="1" applyBorder="1" applyAlignment="1">
      <alignment horizontal="center" vertical="center" wrapText="1"/>
    </xf>
    <xf numFmtId="1" fontId="1" fillId="7" borderId="1" xfId="0" applyNumberFormat="1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1" fontId="1" fillId="15" borderId="1" xfId="0" applyNumberFormat="1" applyFont="1" applyFill="1" applyBorder="1" applyAlignment="1">
      <alignment horizontal="center" vertical="center" wrapText="1"/>
    </xf>
    <xf numFmtId="167" fontId="1" fillId="5" borderId="2" xfId="0" applyNumberFormat="1" applyFont="1" applyFill="1" applyBorder="1" applyAlignment="1">
      <alignment horizontal="right" vertical="center"/>
    </xf>
    <xf numFmtId="0" fontId="1" fillId="5" borderId="1" xfId="0" applyFont="1" applyFill="1" applyBorder="1" applyAlignment="1">
      <alignment horizontal="center" vertical="center"/>
    </xf>
    <xf numFmtId="167" fontId="1" fillId="5" borderId="1" xfId="0" applyNumberFormat="1" applyFont="1" applyFill="1" applyBorder="1" applyAlignment="1">
      <alignment horizontal="right" vertical="center"/>
    </xf>
    <xf numFmtId="165" fontId="8" fillId="4" borderId="1" xfId="4" applyNumberFormat="1" applyFont="1" applyBorder="1" applyAlignment="1">
      <alignment horizontal="right" vertical="center"/>
    </xf>
    <xf numFmtId="165" fontId="8" fillId="4" borderId="6" xfId="4" applyNumberFormat="1" applyFont="1" applyBorder="1" applyAlignment="1">
      <alignment horizontal="right" vertical="center"/>
    </xf>
    <xf numFmtId="165" fontId="8" fillId="4" borderId="5" xfId="4" applyNumberFormat="1" applyFont="1" applyBorder="1" applyAlignment="1">
      <alignment horizontal="right" vertical="center"/>
    </xf>
    <xf numFmtId="2" fontId="1" fillId="5" borderId="1" xfId="0" applyNumberFormat="1" applyFont="1" applyFill="1" applyBorder="1" applyAlignment="1">
      <alignment horizontal="center" vertical="center" wrapText="1"/>
    </xf>
    <xf numFmtId="10" fontId="1" fillId="5" borderId="1" xfId="5" applyNumberFormat="1" applyFont="1" applyFill="1" applyBorder="1" applyAlignment="1">
      <alignment horizontal="right" vertical="center"/>
    </xf>
    <xf numFmtId="9" fontId="7" fillId="5" borderId="1" xfId="5" applyFont="1" applyFill="1" applyBorder="1" applyAlignment="1">
      <alignment horizontal="center" vertical="center" wrapText="1"/>
    </xf>
    <xf numFmtId="9" fontId="7" fillId="5" borderId="6" xfId="5" applyFont="1" applyFill="1" applyBorder="1" applyAlignment="1">
      <alignment horizontal="center" vertical="center" wrapText="1"/>
    </xf>
    <xf numFmtId="10" fontId="7" fillId="5" borderId="6" xfId="5" applyNumberFormat="1" applyFont="1" applyFill="1" applyBorder="1" applyAlignment="1">
      <alignment horizontal="right" vertical="center"/>
    </xf>
    <xf numFmtId="2" fontId="1" fillId="5" borderId="9" xfId="0" applyNumberFormat="1" applyFont="1" applyFill="1" applyBorder="1" applyAlignment="1">
      <alignment horizontal="center" vertical="center" wrapText="1"/>
    </xf>
    <xf numFmtId="2" fontId="1" fillId="5" borderId="8" xfId="0" applyNumberFormat="1" applyFont="1" applyFill="1" applyBorder="1" applyAlignment="1">
      <alignment horizontal="center" vertical="center" wrapText="1"/>
    </xf>
    <xf numFmtId="165" fontId="1" fillId="5" borderId="15" xfId="5" applyNumberFormat="1" applyFont="1" applyFill="1" applyBorder="1" applyAlignment="1">
      <alignment horizontal="right" vertical="center"/>
    </xf>
    <xf numFmtId="10" fontId="1" fillId="5" borderId="8" xfId="5" applyNumberFormat="1" applyFont="1" applyFill="1" applyBorder="1" applyAlignment="1">
      <alignment horizontal="right" vertical="center"/>
    </xf>
    <xf numFmtId="165" fontId="1" fillId="5" borderId="7" xfId="5" applyNumberFormat="1" applyFont="1" applyFill="1" applyBorder="1" applyAlignment="1">
      <alignment horizontal="right" vertical="center"/>
    </xf>
    <xf numFmtId="9" fontId="1" fillId="5" borderId="1" xfId="5" applyFont="1" applyFill="1" applyBorder="1" applyAlignment="1">
      <alignment horizontal="center" vertical="center" wrapText="1"/>
    </xf>
    <xf numFmtId="165" fontId="1" fillId="5" borderId="1" xfId="5" applyNumberFormat="1" applyFont="1" applyFill="1" applyBorder="1" applyAlignment="1">
      <alignment horizontal="right" vertical="center"/>
    </xf>
    <xf numFmtId="9" fontId="1" fillId="5" borderId="3" xfId="5" applyFont="1" applyFill="1" applyBorder="1" applyAlignment="1">
      <alignment horizontal="center" vertical="center" wrapText="1"/>
    </xf>
    <xf numFmtId="165" fontId="1" fillId="5" borderId="16" xfId="5" applyNumberFormat="1" applyFont="1" applyFill="1" applyBorder="1" applyAlignment="1">
      <alignment horizontal="right" vertical="center"/>
    </xf>
    <xf numFmtId="165" fontId="1" fillId="5" borderId="3" xfId="5" applyNumberFormat="1" applyFont="1" applyFill="1" applyBorder="1" applyAlignment="1">
      <alignment horizontal="right" vertical="center"/>
    </xf>
    <xf numFmtId="9" fontId="1" fillId="5" borderId="6" xfId="5" applyFont="1" applyFill="1" applyBorder="1" applyAlignment="1">
      <alignment horizontal="center" vertical="center" wrapText="1"/>
    </xf>
    <xf numFmtId="165" fontId="1" fillId="5" borderId="17" xfId="5" applyNumberFormat="1" applyFont="1" applyFill="1" applyBorder="1" applyAlignment="1">
      <alignment horizontal="right" vertical="center"/>
    </xf>
    <xf numFmtId="165" fontId="1" fillId="5" borderId="6" xfId="5" applyNumberFormat="1" applyFont="1" applyFill="1" applyBorder="1" applyAlignment="1">
      <alignment horizontal="right" vertical="center"/>
    </xf>
    <xf numFmtId="2" fontId="1" fillId="5" borderId="2" xfId="0" applyNumberFormat="1" applyFont="1" applyFill="1" applyBorder="1" applyAlignment="1">
      <alignment horizontal="center" vertical="center" wrapText="1"/>
    </xf>
    <xf numFmtId="166" fontId="1" fillId="5" borderId="2" xfId="0" applyNumberFormat="1" applyFont="1" applyFill="1" applyBorder="1" applyAlignment="1">
      <alignment horizontal="right" vertical="center"/>
    </xf>
    <xf numFmtId="0" fontId="0" fillId="5" borderId="0" xfId="0" applyFill="1" applyBorder="1" applyAlignment="1">
      <alignment horizontal="center" vertical="center"/>
    </xf>
    <xf numFmtId="2" fontId="9" fillId="9" borderId="2" xfId="1" applyNumberFormat="1" applyFont="1" applyFill="1" applyBorder="1" applyAlignment="1">
      <alignment horizontal="center" vertical="center" wrapText="1"/>
    </xf>
    <xf numFmtId="9" fontId="9" fillId="9" borderId="2" xfId="1" applyNumberFormat="1" applyFont="1" applyFill="1" applyBorder="1" applyAlignment="1">
      <alignment horizontal="right" vertical="center"/>
    </xf>
    <xf numFmtId="9" fontId="9" fillId="9" borderId="11" xfId="1" applyNumberFormat="1" applyFont="1" applyFill="1" applyBorder="1" applyAlignment="1">
      <alignment horizontal="right" vertical="center"/>
    </xf>
    <xf numFmtId="2" fontId="9" fillId="9" borderId="1" xfId="1" applyNumberFormat="1" applyFont="1" applyFill="1" applyBorder="1" applyAlignment="1">
      <alignment horizontal="center" vertical="center" wrapText="1"/>
    </xf>
    <xf numFmtId="167" fontId="1" fillId="9" borderId="7" xfId="0" applyNumberFormat="1" applyFont="1" applyFill="1" applyBorder="1" applyAlignment="1">
      <alignment horizontal="right" vertical="center" wrapText="1"/>
    </xf>
    <xf numFmtId="167" fontId="1" fillId="9" borderId="1" xfId="0" applyNumberFormat="1" applyFont="1" applyFill="1" applyBorder="1" applyAlignment="1">
      <alignment horizontal="right" vertical="center" wrapText="1"/>
    </xf>
    <xf numFmtId="167" fontId="10" fillId="9" borderId="7" xfId="1" applyNumberFormat="1" applyFont="1" applyFill="1" applyBorder="1" applyAlignment="1">
      <alignment horizontal="right" vertical="center"/>
    </xf>
    <xf numFmtId="167" fontId="10" fillId="9" borderId="1" xfId="1" applyNumberFormat="1" applyFont="1" applyFill="1" applyBorder="1" applyAlignment="1">
      <alignment horizontal="right" vertical="center"/>
    </xf>
    <xf numFmtId="9" fontId="1" fillId="9" borderId="7" xfId="5" applyFont="1" applyFill="1" applyBorder="1" applyAlignment="1">
      <alignment horizontal="right" vertical="center" wrapText="1"/>
    </xf>
    <xf numFmtId="9" fontId="1" fillId="9" borderId="1" xfId="5" applyFont="1" applyFill="1" applyBorder="1" applyAlignment="1">
      <alignment horizontal="right" vertical="center" wrapText="1"/>
    </xf>
    <xf numFmtId="2" fontId="1" fillId="10" borderId="1" xfId="0" applyNumberFormat="1" applyFont="1" applyFill="1" applyBorder="1" applyAlignment="1">
      <alignment horizontal="center" vertical="center" wrapText="1"/>
    </xf>
    <xf numFmtId="10" fontId="1" fillId="10" borderId="1" xfId="0" applyNumberFormat="1" applyFont="1" applyFill="1" applyBorder="1" applyAlignment="1">
      <alignment horizontal="right" vertical="center"/>
    </xf>
    <xf numFmtId="10" fontId="1" fillId="10" borderId="7" xfId="0" applyNumberFormat="1" applyFont="1" applyFill="1" applyBorder="1" applyAlignment="1">
      <alignment horizontal="right" vertical="center"/>
    </xf>
    <xf numFmtId="0" fontId="1" fillId="10" borderId="5" xfId="0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 wrapText="1"/>
    </xf>
    <xf numFmtId="166" fontId="1" fillId="0" borderId="11" xfId="0" applyNumberFormat="1" applyFont="1" applyFill="1" applyBorder="1" applyAlignment="1">
      <alignment horizontal="center" vertical="center"/>
    </xf>
    <xf numFmtId="1" fontId="1" fillId="12" borderId="2" xfId="0" applyNumberFormat="1" applyFont="1" applyFill="1" applyBorder="1" applyAlignment="1">
      <alignment horizontal="center" vertical="center"/>
    </xf>
    <xf numFmtId="166" fontId="1" fillId="0" borderId="16" xfId="0" applyNumberFormat="1" applyFont="1" applyFill="1" applyBorder="1" applyAlignment="1">
      <alignment horizontal="center" vertical="center"/>
    </xf>
    <xf numFmtId="1" fontId="1" fillId="12" borderId="3" xfId="0" applyNumberFormat="1" applyFont="1" applyFill="1" applyBorder="1" applyAlignment="1">
      <alignment horizontal="center" vertical="center"/>
    </xf>
    <xf numFmtId="0" fontId="7" fillId="14" borderId="3" xfId="0" applyFont="1" applyFill="1" applyBorder="1" applyAlignment="1">
      <alignment horizontal="center" vertical="center"/>
    </xf>
    <xf numFmtId="167" fontId="11" fillId="13" borderId="10" xfId="0" applyNumberFormat="1" applyFont="1" applyFill="1" applyBorder="1" applyAlignment="1">
      <alignment horizontal="right" vertical="center" wrapText="1"/>
    </xf>
    <xf numFmtId="1" fontId="1" fillId="12" borderId="12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 wrapText="1"/>
    </xf>
    <xf numFmtId="2" fontId="2" fillId="11" borderId="5" xfId="0" applyNumberFormat="1" applyFont="1" applyFill="1" applyBorder="1" applyAlignment="1">
      <alignment horizontal="center" vertical="center" wrapText="1"/>
    </xf>
    <xf numFmtId="0" fontId="0" fillId="5" borderId="0" xfId="0" applyFill="1" applyAlignment="1">
      <alignment horizontal="right" vertical="center"/>
    </xf>
    <xf numFmtId="0" fontId="1" fillId="5" borderId="0" xfId="0" applyFont="1" applyFill="1" applyAlignment="1">
      <alignment horizontal="right" vertical="center"/>
    </xf>
    <xf numFmtId="2" fontId="1" fillId="16" borderId="1" xfId="0" applyNumberFormat="1" applyFont="1" applyFill="1" applyBorder="1" applyAlignment="1">
      <alignment horizontal="center" vertical="center" wrapText="1"/>
    </xf>
    <xf numFmtId="1" fontId="1" fillId="16" borderId="1" xfId="0" applyNumberFormat="1" applyFont="1" applyFill="1" applyBorder="1" applyAlignment="1">
      <alignment horizontal="right" vertical="center"/>
    </xf>
    <xf numFmtId="1" fontId="1" fillId="5" borderId="7" xfId="0" applyNumberFormat="1" applyFont="1" applyFill="1" applyBorder="1" applyAlignment="1">
      <alignment horizontal="right" vertical="center"/>
    </xf>
    <xf numFmtId="10" fontId="1" fillId="6" borderId="1" xfId="5" applyNumberFormat="1" applyFont="1" applyFill="1" applyBorder="1" applyAlignment="1">
      <alignment horizontal="right" vertical="center"/>
    </xf>
    <xf numFmtId="2" fontId="1" fillId="11" borderId="1" xfId="0" applyNumberFormat="1" applyFont="1" applyFill="1" applyBorder="1" applyAlignment="1">
      <alignment horizontal="center" vertical="center" wrapText="1"/>
    </xf>
    <xf numFmtId="167" fontId="1" fillId="15" borderId="1" xfId="0" applyNumberFormat="1" applyFont="1" applyFill="1" applyBorder="1" applyAlignment="1">
      <alignment horizontal="right" vertical="center"/>
    </xf>
    <xf numFmtId="2" fontId="2" fillId="0" borderId="1" xfId="0" applyNumberFormat="1" applyFont="1" applyFill="1" applyBorder="1" applyAlignment="1">
      <alignment horizontal="center" vertical="center" wrapText="1"/>
    </xf>
    <xf numFmtId="167" fontId="7" fillId="8" borderId="1" xfId="0" applyNumberFormat="1" applyFont="1" applyFill="1" applyBorder="1" applyAlignment="1">
      <alignment horizontal="right" vertical="center"/>
    </xf>
    <xf numFmtId="2" fontId="1" fillId="9" borderId="2" xfId="0" applyNumberFormat="1" applyFont="1" applyFill="1" applyBorder="1" applyAlignment="1">
      <alignment horizontal="center" vertical="center" wrapText="1"/>
    </xf>
    <xf numFmtId="2" fontId="1" fillId="9" borderId="1" xfId="0" applyNumberFormat="1" applyFont="1" applyFill="1" applyBorder="1" applyAlignment="1">
      <alignment horizontal="center" vertical="center" wrapText="1"/>
    </xf>
    <xf numFmtId="167" fontId="1" fillId="9" borderId="1" xfId="4" applyNumberFormat="1" applyFont="1" applyFill="1" applyBorder="1" applyAlignment="1">
      <alignment horizontal="right" vertical="center"/>
    </xf>
    <xf numFmtId="1" fontId="1" fillId="8" borderId="1" xfId="4" applyNumberFormat="1" applyFont="1" applyFill="1" applyBorder="1" applyAlignment="1">
      <alignment horizontal="center" vertical="center" wrapText="1"/>
    </xf>
    <xf numFmtId="167" fontId="7" fillId="8" borderId="1" xfId="2" applyNumberFormat="1" applyFont="1" applyFill="1" applyBorder="1" applyAlignment="1">
      <alignment horizontal="right" vertical="center"/>
    </xf>
    <xf numFmtId="1" fontId="1" fillId="0" borderId="1" xfId="4" applyNumberFormat="1" applyFont="1" applyFill="1" applyBorder="1" applyAlignment="1">
      <alignment horizontal="center" vertical="center" wrapText="1"/>
    </xf>
    <xf numFmtId="9" fontId="7" fillId="8" borderId="1" xfId="5" applyFont="1" applyFill="1" applyBorder="1" applyAlignment="1">
      <alignment horizontal="right" vertical="center"/>
    </xf>
    <xf numFmtId="1" fontId="7" fillId="0" borderId="5" xfId="4" applyNumberFormat="1" applyFont="1" applyFill="1" applyBorder="1" applyAlignment="1">
      <alignment horizontal="center" vertical="center" wrapText="1"/>
    </xf>
    <xf numFmtId="167" fontId="7" fillId="0" borderId="13" xfId="0" applyNumberFormat="1" applyFont="1" applyFill="1" applyBorder="1" applyAlignment="1">
      <alignment horizontal="right" vertical="center"/>
    </xf>
    <xf numFmtId="1" fontId="1" fillId="8" borderId="12" xfId="4" applyNumberFormat="1" applyFont="1" applyFill="1" applyBorder="1" applyAlignment="1">
      <alignment horizontal="center" vertical="center" wrapText="1"/>
    </xf>
    <xf numFmtId="167" fontId="7" fillId="8" borderId="12" xfId="0" applyNumberFormat="1" applyFont="1" applyFill="1" applyBorder="1" applyAlignment="1">
      <alignment horizontal="right" vertical="center"/>
    </xf>
    <xf numFmtId="0" fontId="13" fillId="5" borderId="0" xfId="0" applyFont="1" applyFill="1" applyAlignment="1">
      <alignment horizontal="center" vertical="center"/>
    </xf>
    <xf numFmtId="167" fontId="13" fillId="21" borderId="12" xfId="0" applyNumberFormat="1" applyFont="1" applyFill="1" applyBorder="1" applyAlignment="1">
      <alignment horizontal="right" vertical="center"/>
    </xf>
    <xf numFmtId="0" fontId="3" fillId="5" borderId="0" xfId="0" applyFont="1" applyFill="1" applyAlignment="1">
      <alignment horizontal="center" vertical="center"/>
    </xf>
    <xf numFmtId="0" fontId="3" fillId="5" borderId="2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7" fontId="3" fillId="0" borderId="2" xfId="0" applyNumberFormat="1" applyFont="1" applyBorder="1" applyAlignment="1">
      <alignment horizontal="right" vertical="center"/>
    </xf>
    <xf numFmtId="1" fontId="3" fillId="8" borderId="1" xfId="4" applyNumberFormat="1" applyFont="1" applyFill="1" applyBorder="1" applyAlignment="1">
      <alignment horizontal="center" vertical="center" wrapText="1"/>
    </xf>
    <xf numFmtId="167" fontId="3" fillId="0" borderId="1" xfId="0" applyNumberFormat="1" applyFont="1" applyBorder="1" applyAlignment="1">
      <alignment horizontal="right" vertical="center"/>
    </xf>
    <xf numFmtId="167" fontId="3" fillId="5" borderId="0" xfId="0" applyNumberFormat="1" applyFont="1" applyFill="1" applyAlignment="1">
      <alignment horizontal="center" vertical="center"/>
    </xf>
    <xf numFmtId="1" fontId="3" fillId="0" borderId="5" xfId="4" applyNumberFormat="1" applyFont="1" applyFill="1" applyBorder="1" applyAlignment="1">
      <alignment horizontal="center" vertical="center" wrapText="1"/>
    </xf>
    <xf numFmtId="9" fontId="3" fillId="0" borderId="5" xfId="5" applyFont="1" applyBorder="1" applyAlignment="1">
      <alignment horizontal="right" vertical="center"/>
    </xf>
    <xf numFmtId="1" fontId="14" fillId="21" borderId="18" xfId="4" applyNumberFormat="1" applyFont="1" applyFill="1" applyBorder="1" applyAlignment="1">
      <alignment horizontal="right" vertical="center" wrapText="1"/>
    </xf>
    <xf numFmtId="0" fontId="14" fillId="5" borderId="0" xfId="0" applyFont="1" applyFill="1" applyAlignment="1">
      <alignment horizontal="center" vertical="center"/>
    </xf>
    <xf numFmtId="167" fontId="14" fillId="21" borderId="18" xfId="0" applyNumberFormat="1" applyFont="1" applyFill="1" applyBorder="1" applyAlignment="1">
      <alignment horizontal="right" vertical="center"/>
    </xf>
    <xf numFmtId="0" fontId="3" fillId="18" borderId="3" xfId="0" applyFont="1" applyFill="1" applyBorder="1" applyAlignment="1">
      <alignment horizontal="center" vertical="center"/>
    </xf>
    <xf numFmtId="10" fontId="3" fillId="0" borderId="3" xfId="0" applyNumberFormat="1" applyFont="1" applyBorder="1" applyAlignment="1">
      <alignment horizontal="right" vertical="center"/>
    </xf>
    <xf numFmtId="167" fontId="3" fillId="0" borderId="5" xfId="2" applyNumberFormat="1" applyFont="1" applyFill="1" applyBorder="1" applyAlignment="1">
      <alignment horizontal="right" vertical="center"/>
    </xf>
    <xf numFmtId="0" fontId="3" fillId="8" borderId="1" xfId="0" quotePrefix="1" applyFont="1" applyFill="1" applyBorder="1" applyAlignment="1">
      <alignment horizontal="center" vertical="center"/>
    </xf>
    <xf numFmtId="0" fontId="14" fillId="21" borderId="12" xfId="0" quotePrefix="1" applyFont="1" applyFill="1" applyBorder="1" applyAlignment="1">
      <alignment horizontal="right" vertical="center"/>
    </xf>
    <xf numFmtId="167" fontId="14" fillId="21" borderId="12" xfId="0" applyNumberFormat="1" applyFont="1" applyFill="1" applyBorder="1" applyAlignment="1">
      <alignment horizontal="right" vertical="center"/>
    </xf>
    <xf numFmtId="166" fontId="1" fillId="5" borderId="0" xfId="0" quotePrefix="1" applyNumberFormat="1" applyFont="1" applyFill="1" applyAlignment="1">
      <alignment horizontal="center" vertical="center"/>
    </xf>
    <xf numFmtId="0" fontId="1" fillId="16" borderId="1" xfId="0" applyFont="1" applyFill="1" applyBorder="1" applyAlignment="1">
      <alignment horizontal="center" vertical="center"/>
    </xf>
    <xf numFmtId="2" fontId="1" fillId="5" borderId="1" xfId="0" applyNumberFormat="1" applyFont="1" applyFill="1" applyBorder="1" applyAlignment="1">
      <alignment horizontal="center" vertical="center"/>
    </xf>
    <xf numFmtId="167" fontId="1" fillId="8" borderId="1" xfId="0" applyNumberFormat="1" applyFont="1" applyFill="1" applyBorder="1" applyAlignment="1">
      <alignment horizontal="center" vertical="center"/>
    </xf>
    <xf numFmtId="167" fontId="0" fillId="5" borderId="1" xfId="0" applyNumberFormat="1" applyFill="1" applyBorder="1" applyAlignment="1">
      <alignment horizontal="center" vertical="center"/>
    </xf>
    <xf numFmtId="166" fontId="0" fillId="16" borderId="1" xfId="0" applyNumberFormat="1" applyFill="1" applyBorder="1" applyAlignment="1">
      <alignment horizontal="center" vertical="center"/>
    </xf>
    <xf numFmtId="166" fontId="0" fillId="5" borderId="1" xfId="0" applyNumberFormat="1" applyFill="1" applyBorder="1" applyAlignment="1">
      <alignment horizontal="center" vertical="center"/>
    </xf>
    <xf numFmtId="166" fontId="1" fillId="5" borderId="1" xfId="0" applyNumberFormat="1" applyFont="1" applyFill="1" applyBorder="1" applyAlignment="1">
      <alignment horizontal="center" vertical="center"/>
    </xf>
    <xf numFmtId="167" fontId="1" fillId="20" borderId="1" xfId="0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9" fontId="0" fillId="5" borderId="1" xfId="5" applyFont="1" applyFill="1" applyBorder="1" applyAlignment="1">
      <alignment horizontal="center" vertical="center"/>
    </xf>
    <xf numFmtId="167" fontId="17" fillId="13" borderId="12" xfId="5" applyNumberFormat="1" applyFont="1" applyFill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12" borderId="2" xfId="0" applyFont="1" applyFill="1" applyBorder="1" applyAlignment="1">
      <alignment horizontal="center" vertical="center"/>
    </xf>
    <xf numFmtId="0" fontId="18" fillId="5" borderId="0" xfId="3" applyFont="1" applyFill="1" applyAlignment="1">
      <alignment horizontal="center" vertical="center"/>
    </xf>
    <xf numFmtId="0" fontId="16" fillId="5" borderId="0" xfId="0" applyFont="1" applyFill="1" applyAlignment="1">
      <alignment horizontal="right" vertical="center"/>
    </xf>
    <xf numFmtId="0" fontId="14" fillId="5" borderId="1" xfId="0" applyFont="1" applyFill="1" applyBorder="1" applyAlignment="1">
      <alignment horizontal="center" vertical="center"/>
    </xf>
    <xf numFmtId="0" fontId="14" fillId="5" borderId="0" xfId="0" applyFont="1" applyFill="1" applyAlignment="1">
      <alignment horizontal="right" vertical="center"/>
    </xf>
    <xf numFmtId="2" fontId="7" fillId="10" borderId="5" xfId="0" applyNumberFormat="1" applyFont="1" applyFill="1" applyBorder="1" applyAlignment="1">
      <alignment horizontal="center" vertical="center" wrapText="1"/>
    </xf>
    <xf numFmtId="167" fontId="1" fillId="10" borderId="5" xfId="0" applyNumberFormat="1" applyFont="1" applyFill="1" applyBorder="1" applyAlignment="1">
      <alignment horizontal="right" vertical="center"/>
    </xf>
    <xf numFmtId="0" fontId="0" fillId="5" borderId="0" xfId="0" applyFill="1" applyBorder="1" applyAlignment="1">
      <alignment horizontal="right" vertical="center"/>
    </xf>
    <xf numFmtId="0" fontId="1" fillId="6" borderId="0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13" fillId="5" borderId="0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0" fontId="14" fillId="5" borderId="0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right" vertical="center"/>
    </xf>
    <xf numFmtId="167" fontId="0" fillId="5" borderId="0" xfId="0" applyNumberFormat="1" applyFill="1" applyAlignment="1">
      <alignment horizontal="center" vertical="center"/>
    </xf>
    <xf numFmtId="167" fontId="3" fillId="22" borderId="2" xfId="3" applyNumberFormat="1" applyFont="1" applyFill="1" applyBorder="1" applyAlignment="1">
      <alignment horizontal="right" vertical="center"/>
    </xf>
    <xf numFmtId="167" fontId="1" fillId="22" borderId="1" xfId="4" applyNumberFormat="1" applyFont="1" applyFill="1" applyBorder="1" applyAlignment="1">
      <alignment horizontal="right" vertical="center"/>
    </xf>
    <xf numFmtId="2" fontId="2" fillId="8" borderId="5" xfId="0" applyNumberFormat="1" applyFont="1" applyFill="1" applyBorder="1" applyAlignment="1">
      <alignment horizontal="center" vertical="center" wrapText="1"/>
    </xf>
    <xf numFmtId="167" fontId="1" fillId="10" borderId="13" xfId="0" applyNumberFormat="1" applyFont="1" applyFill="1" applyBorder="1" applyAlignment="1">
      <alignment horizontal="right" vertical="center"/>
    </xf>
    <xf numFmtId="2" fontId="1" fillId="0" borderId="2" xfId="0" applyNumberFormat="1" applyFont="1" applyFill="1" applyBorder="1" applyAlignment="1">
      <alignment horizontal="center" vertical="center" wrapText="1"/>
    </xf>
    <xf numFmtId="2" fontId="9" fillId="11" borderId="12" xfId="1" applyNumberFormat="1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center" vertical="center"/>
    </xf>
    <xf numFmtId="167" fontId="2" fillId="8" borderId="5" xfId="0" applyNumberFormat="1" applyFont="1" applyFill="1" applyBorder="1" applyAlignment="1">
      <alignment horizontal="right" vertical="center"/>
    </xf>
    <xf numFmtId="0" fontId="2" fillId="5" borderId="0" xfId="0" applyFont="1" applyFill="1" applyBorder="1" applyAlignment="1">
      <alignment horizontal="center" vertical="center"/>
    </xf>
    <xf numFmtId="2" fontId="2" fillId="8" borderId="12" xfId="0" applyNumberFormat="1" applyFont="1" applyFill="1" applyBorder="1" applyAlignment="1">
      <alignment horizontal="center" vertical="center" wrapText="1"/>
    </xf>
    <xf numFmtId="0" fontId="0" fillId="5" borderId="0" xfId="0" applyFill="1" applyAlignment="1">
      <alignment horizontal="left" vertical="center"/>
    </xf>
    <xf numFmtId="0" fontId="3" fillId="5" borderId="1" xfId="0" quotePrefix="1" applyFont="1" applyFill="1" applyBorder="1" applyAlignment="1">
      <alignment horizontal="right" vertical="center"/>
    </xf>
    <xf numFmtId="0" fontId="3" fillId="5" borderId="22" xfId="0" quotePrefix="1" applyFont="1" applyFill="1" applyBorder="1" applyAlignment="1">
      <alignment horizontal="right" vertical="center"/>
    </xf>
    <xf numFmtId="167" fontId="3" fillId="5" borderId="22" xfId="0" applyNumberFormat="1" applyFont="1" applyFill="1" applyBorder="1" applyAlignment="1">
      <alignment horizontal="right" vertical="center"/>
    </xf>
    <xf numFmtId="0" fontId="19" fillId="5" borderId="0" xfId="3" applyFont="1" applyFill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/>
    </xf>
    <xf numFmtId="2" fontId="0" fillId="5" borderId="0" xfId="0" applyNumberFormat="1" applyFill="1" applyAlignment="1">
      <alignment horizontal="center" vertical="center"/>
    </xf>
    <xf numFmtId="1" fontId="3" fillId="0" borderId="22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166" fontId="0" fillId="5" borderId="22" xfId="0" applyNumberFormat="1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15" fillId="21" borderId="26" xfId="0" applyFont="1" applyFill="1" applyBorder="1" applyAlignment="1">
      <alignment horizontal="right" vertical="center"/>
    </xf>
    <xf numFmtId="167" fontId="20" fillId="5" borderId="12" xfId="0" applyNumberFormat="1" applyFont="1" applyFill="1" applyBorder="1" applyAlignment="1">
      <alignment horizontal="right" vertical="center"/>
    </xf>
    <xf numFmtId="167" fontId="21" fillId="15" borderId="1" xfId="0" applyNumberFormat="1" applyFont="1" applyFill="1" applyBorder="1" applyAlignment="1">
      <alignment horizontal="right" vertical="center"/>
    </xf>
    <xf numFmtId="1" fontId="23" fillId="5" borderId="9" xfId="0" applyNumberFormat="1" applyFont="1" applyFill="1" applyBorder="1" applyAlignment="1">
      <alignment horizontal="right" vertical="center"/>
    </xf>
    <xf numFmtId="2" fontId="7" fillId="0" borderId="10" xfId="0" applyNumberFormat="1" applyFont="1" applyFill="1" applyBorder="1" applyAlignment="1">
      <alignment horizontal="center" vertical="center" wrapText="1"/>
    </xf>
    <xf numFmtId="2" fontId="12" fillId="13" borderId="2" xfId="1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/>
    </xf>
    <xf numFmtId="0" fontId="14" fillId="5" borderId="27" xfId="0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168" fontId="0" fillId="5" borderId="0" xfId="0" applyNumberFormat="1" applyFill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" fontId="2" fillId="10" borderId="5" xfId="0" applyNumberFormat="1" applyFont="1" applyFill="1" applyBorder="1" applyAlignment="1">
      <alignment horizontal="right" vertical="center"/>
    </xf>
    <xf numFmtId="2" fontId="9" fillId="9" borderId="5" xfId="1" applyNumberFormat="1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 applyBorder="1" applyAlignment="1">
      <alignment horizontal="center" vertical="center"/>
    </xf>
    <xf numFmtId="169" fontId="0" fillId="5" borderId="0" xfId="0" applyNumberFormat="1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0" fontId="0" fillId="6" borderId="0" xfId="0" applyFill="1" applyBorder="1" applyAlignment="1">
      <alignment horizontal="right" vertical="center"/>
    </xf>
    <xf numFmtId="0" fontId="2" fillId="5" borderId="0" xfId="0" applyFont="1" applyFill="1" applyBorder="1" applyAlignment="1">
      <alignment horizontal="left" vertical="center"/>
    </xf>
    <xf numFmtId="0" fontId="13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14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right" vertical="center"/>
    </xf>
    <xf numFmtId="3" fontId="0" fillId="5" borderId="0" xfId="0" applyNumberFormat="1" applyFill="1" applyBorder="1" applyAlignment="1">
      <alignment horizontal="center" vertical="center"/>
    </xf>
    <xf numFmtId="0" fontId="24" fillId="0" borderId="0" xfId="0" applyFont="1"/>
    <xf numFmtId="170" fontId="3" fillId="0" borderId="3" xfId="0" applyNumberFormat="1" applyFont="1" applyBorder="1" applyAlignment="1">
      <alignment horizontal="right" vertical="center"/>
    </xf>
    <xf numFmtId="0" fontId="3" fillId="5" borderId="28" xfId="0" quotePrefix="1" applyFont="1" applyFill="1" applyBorder="1" applyAlignment="1">
      <alignment horizontal="right" vertical="center"/>
    </xf>
    <xf numFmtId="0" fontId="3" fillId="5" borderId="2" xfId="0" quotePrefix="1" applyFont="1" applyFill="1" applyBorder="1" applyAlignment="1">
      <alignment horizontal="right" vertical="center"/>
    </xf>
    <xf numFmtId="167" fontId="3" fillId="0" borderId="28" xfId="0" applyNumberFormat="1" applyFont="1" applyBorder="1" applyAlignment="1">
      <alignment horizontal="right" vertical="center"/>
    </xf>
    <xf numFmtId="9" fontId="3" fillId="0" borderId="2" xfId="5" applyFont="1" applyBorder="1" applyAlignment="1">
      <alignment horizontal="right" vertical="center"/>
    </xf>
    <xf numFmtId="0" fontId="3" fillId="19" borderId="1" xfId="0" applyFont="1" applyFill="1" applyBorder="1" applyAlignment="1">
      <alignment horizontal="center" vertical="center"/>
    </xf>
    <xf numFmtId="2" fontId="3" fillId="12" borderId="3" xfId="0" applyNumberFormat="1" applyFont="1" applyFill="1" applyBorder="1" applyAlignment="1">
      <alignment horizontal="right" vertical="center"/>
    </xf>
    <xf numFmtId="167" fontId="3" fillId="24" borderId="24" xfId="0" applyNumberFormat="1" applyFont="1" applyFill="1" applyBorder="1" applyAlignment="1">
      <alignment horizontal="right" vertical="center"/>
    </xf>
    <xf numFmtId="166" fontId="23" fillId="0" borderId="5" xfId="0" applyNumberFormat="1" applyFont="1" applyFill="1" applyBorder="1" applyAlignment="1">
      <alignment horizontal="right" vertical="center"/>
    </xf>
    <xf numFmtId="0" fontId="19" fillId="5" borderId="0" xfId="3" applyFont="1" applyFill="1" applyAlignment="1">
      <alignment horizontal="center" vertical="center"/>
    </xf>
    <xf numFmtId="0" fontId="19" fillId="5" borderId="0" xfId="3" applyFont="1" applyFill="1" applyBorder="1" applyAlignment="1">
      <alignment horizontal="center" vertical="center"/>
    </xf>
    <xf numFmtId="0" fontId="19" fillId="6" borderId="0" xfId="3" applyFont="1" applyFill="1" applyBorder="1" applyAlignment="1">
      <alignment horizontal="center" vertical="center"/>
    </xf>
    <xf numFmtId="2" fontId="1" fillId="12" borderId="2" xfId="0" applyNumberFormat="1" applyFont="1" applyFill="1" applyBorder="1" applyAlignment="1">
      <alignment horizontal="center" vertical="center" wrapText="1"/>
    </xf>
    <xf numFmtId="10" fontId="1" fillId="12" borderId="1" xfId="5" applyNumberFormat="1" applyFont="1" applyFill="1" applyBorder="1" applyAlignment="1">
      <alignment horizontal="right" vertical="center"/>
    </xf>
    <xf numFmtId="10" fontId="1" fillId="27" borderId="1" xfId="5" applyNumberFormat="1" applyFont="1" applyFill="1" applyBorder="1" applyAlignment="1">
      <alignment horizontal="right" vertical="center"/>
    </xf>
    <xf numFmtId="1" fontId="23" fillId="5" borderId="8" xfId="0" applyNumberFormat="1" applyFont="1" applyFill="1" applyBorder="1" applyAlignment="1">
      <alignment horizontal="right" vertical="center"/>
    </xf>
    <xf numFmtId="0" fontId="16" fillId="5" borderId="29" xfId="0" applyFont="1" applyFill="1" applyBorder="1" applyAlignment="1">
      <alignment horizontal="center" vertical="center"/>
    </xf>
    <xf numFmtId="166" fontId="1" fillId="5" borderId="1" xfId="0" applyNumberFormat="1" applyFont="1" applyFill="1" applyBorder="1" applyAlignment="1">
      <alignment horizontal="right" vertical="center"/>
    </xf>
    <xf numFmtId="0" fontId="16" fillId="5" borderId="19" xfId="0" applyFont="1" applyFill="1" applyBorder="1" applyAlignment="1">
      <alignment horizontal="center" vertical="center"/>
    </xf>
    <xf numFmtId="2" fontId="1" fillId="7" borderId="1" xfId="0" applyNumberFormat="1" applyFont="1" applyFill="1" applyBorder="1" applyAlignment="1">
      <alignment horizontal="center" vertical="center" wrapText="1"/>
    </xf>
    <xf numFmtId="166" fontId="1" fillId="7" borderId="1" xfId="0" applyNumberFormat="1" applyFont="1" applyFill="1" applyBorder="1" applyAlignment="1">
      <alignment horizontal="right" vertical="center"/>
    </xf>
    <xf numFmtId="166" fontId="1" fillId="28" borderId="1" xfId="0" applyNumberFormat="1" applyFont="1" applyFill="1" applyBorder="1" applyAlignment="1">
      <alignment horizontal="right" vertical="center"/>
    </xf>
    <xf numFmtId="166" fontId="21" fillId="30" borderId="10" xfId="0" applyNumberFormat="1" applyFont="1" applyFill="1" applyBorder="1" applyAlignment="1">
      <alignment horizontal="right" vertical="center"/>
    </xf>
    <xf numFmtId="2" fontId="21" fillId="30" borderId="10" xfId="0" applyNumberFormat="1" applyFont="1" applyFill="1" applyBorder="1" applyAlignment="1">
      <alignment horizontal="center" vertical="center" wrapText="1"/>
    </xf>
    <xf numFmtId="0" fontId="16" fillId="5" borderId="21" xfId="0" applyFont="1" applyFill="1" applyBorder="1" applyAlignment="1">
      <alignment horizontal="center" vertical="center"/>
    </xf>
    <xf numFmtId="0" fontId="16" fillId="12" borderId="1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/>
    </xf>
    <xf numFmtId="10" fontId="7" fillId="5" borderId="7" xfId="5" applyNumberFormat="1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167" fontId="1" fillId="32" borderId="1" xfId="0" applyNumberFormat="1" applyFont="1" applyFill="1" applyBorder="1" applyAlignment="1">
      <alignment horizontal="right" vertical="center"/>
    </xf>
    <xf numFmtId="2" fontId="21" fillId="30" borderId="1" xfId="0" applyNumberFormat="1" applyFont="1" applyFill="1" applyBorder="1" applyAlignment="1">
      <alignment horizontal="center" vertical="center" wrapText="1"/>
    </xf>
    <xf numFmtId="166" fontId="21" fillId="15" borderId="10" xfId="0" applyNumberFormat="1" applyFont="1" applyFill="1" applyBorder="1" applyAlignment="1">
      <alignment horizontal="right" vertical="center"/>
    </xf>
    <xf numFmtId="166" fontId="21" fillId="15" borderId="1" xfId="0" applyNumberFormat="1" applyFont="1" applyFill="1" applyBorder="1" applyAlignment="1">
      <alignment horizontal="right" vertical="center"/>
    </xf>
    <xf numFmtId="10" fontId="1" fillId="29" borderId="1" xfId="5" applyNumberFormat="1" applyFont="1" applyFill="1" applyBorder="1" applyAlignment="1">
      <alignment horizontal="right" vertical="center"/>
    </xf>
    <xf numFmtId="166" fontId="1" fillId="29" borderId="1" xfId="0" applyNumberFormat="1" applyFont="1" applyFill="1" applyBorder="1" applyAlignment="1">
      <alignment horizontal="right" vertical="center"/>
    </xf>
    <xf numFmtId="166" fontId="1" fillId="31" borderId="1" xfId="0" applyNumberFormat="1" applyFont="1" applyFill="1" applyBorder="1" applyAlignment="1">
      <alignment horizontal="right" vertical="center"/>
    </xf>
    <xf numFmtId="0" fontId="1" fillId="15" borderId="1" xfId="0" applyFont="1" applyFill="1" applyBorder="1" applyAlignment="1">
      <alignment horizontal="right" vertical="center"/>
    </xf>
    <xf numFmtId="168" fontId="1" fillId="8" borderId="1" xfId="3" applyNumberFormat="1" applyFont="1" applyFill="1" applyBorder="1" applyAlignment="1">
      <alignment horizontal="right" vertical="center"/>
    </xf>
    <xf numFmtId="168" fontId="1" fillId="25" borderId="1" xfId="3" applyNumberFormat="1" applyFont="1" applyFill="1" applyBorder="1" applyAlignment="1">
      <alignment horizontal="right" vertical="center"/>
    </xf>
    <xf numFmtId="168" fontId="1" fillId="21" borderId="1" xfId="3" applyNumberFormat="1" applyFont="1" applyFill="1" applyBorder="1" applyAlignment="1">
      <alignment horizontal="right" vertical="center"/>
    </xf>
    <xf numFmtId="168" fontId="1" fillId="9" borderId="1" xfId="3" applyNumberFormat="1" applyFont="1" applyFill="1" applyBorder="1" applyAlignment="1">
      <alignment horizontal="right" vertical="center"/>
    </xf>
    <xf numFmtId="0" fontId="7" fillId="14" borderId="1" xfId="0" applyFont="1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2" fontId="28" fillId="8" borderId="2" xfId="1" applyNumberFormat="1" applyFont="1" applyFill="1" applyBorder="1" applyAlignment="1">
      <alignment horizontal="center" vertical="center" wrapText="1"/>
    </xf>
    <xf numFmtId="168" fontId="1" fillId="34" borderId="1" xfId="3" applyNumberFormat="1" applyFont="1" applyFill="1" applyBorder="1" applyAlignment="1">
      <alignment horizontal="right" vertical="center"/>
    </xf>
    <xf numFmtId="0" fontId="2" fillId="15" borderId="1" xfId="0" applyFont="1" applyFill="1" applyBorder="1" applyAlignment="1">
      <alignment horizontal="right" vertical="center"/>
    </xf>
    <xf numFmtId="168" fontId="29" fillId="8" borderId="22" xfId="0" applyNumberFormat="1" applyFont="1" applyFill="1" applyBorder="1" applyAlignment="1">
      <alignment horizontal="right" vertical="center" wrapText="1"/>
    </xf>
    <xf numFmtId="0" fontId="30" fillId="14" borderId="0" xfId="0" applyFont="1" applyFill="1" applyAlignment="1">
      <alignment horizontal="center" vertical="center"/>
    </xf>
    <xf numFmtId="0" fontId="26" fillId="17" borderId="0" xfId="0" applyFont="1" applyFill="1" applyAlignment="1">
      <alignment horizontal="right"/>
    </xf>
    <xf numFmtId="2" fontId="7" fillId="0" borderId="22" xfId="0" applyNumberFormat="1" applyFont="1" applyFill="1" applyBorder="1" applyAlignment="1">
      <alignment horizontal="center" vertical="center" wrapText="1"/>
    </xf>
    <xf numFmtId="168" fontId="1" fillId="26" borderId="1" xfId="3" applyNumberFormat="1" applyFont="1" applyFill="1" applyBorder="1" applyAlignment="1">
      <alignment horizontal="right" vertical="center"/>
    </xf>
    <xf numFmtId="166" fontId="29" fillId="8" borderId="22" xfId="0" applyNumberFormat="1" applyFont="1" applyFill="1" applyBorder="1" applyAlignment="1">
      <alignment horizontal="right" vertical="center" wrapText="1"/>
    </xf>
    <xf numFmtId="168" fontId="9" fillId="3" borderId="12" xfId="1" applyNumberFormat="1" applyFont="1" applyBorder="1" applyAlignment="1">
      <alignment horizontal="right" vertical="center"/>
    </xf>
    <xf numFmtId="168" fontId="1" fillId="2" borderId="2" xfId="0" applyNumberFormat="1" applyFont="1" applyFill="1" applyBorder="1" applyAlignment="1">
      <alignment horizontal="left" vertical="center"/>
    </xf>
    <xf numFmtId="168" fontId="1" fillId="2" borderId="1" xfId="0" applyNumberFormat="1" applyFont="1" applyFill="1" applyBorder="1" applyAlignment="1">
      <alignment horizontal="right" vertical="center"/>
    </xf>
    <xf numFmtId="168" fontId="1" fillId="5" borderId="1" xfId="0" applyNumberFormat="1" applyFont="1" applyFill="1" applyBorder="1" applyAlignment="1">
      <alignment horizontal="right" vertical="center"/>
    </xf>
    <xf numFmtId="168" fontId="2" fillId="5" borderId="5" xfId="5" applyNumberFormat="1" applyFont="1" applyFill="1" applyBorder="1" applyAlignment="1">
      <alignment horizontal="right" vertical="center"/>
    </xf>
    <xf numFmtId="168" fontId="2" fillId="5" borderId="13" xfId="5" applyNumberFormat="1" applyFont="1" applyFill="1" applyBorder="1" applyAlignment="1">
      <alignment horizontal="right" vertical="center"/>
    </xf>
    <xf numFmtId="168" fontId="2" fillId="5" borderId="10" xfId="0" applyNumberFormat="1" applyFont="1" applyFill="1" applyBorder="1" applyAlignment="1">
      <alignment horizontal="right" vertical="center"/>
    </xf>
    <xf numFmtId="166" fontId="7" fillId="14" borderId="2" xfId="0" applyNumberFormat="1" applyFont="1" applyFill="1" applyBorder="1" applyAlignment="1">
      <alignment horizontal="center" vertical="center"/>
    </xf>
    <xf numFmtId="1" fontId="23" fillId="29" borderId="8" xfId="0" applyNumberFormat="1" applyFont="1" applyFill="1" applyBorder="1" applyAlignment="1">
      <alignment horizontal="right" vertical="center"/>
    </xf>
    <xf numFmtId="0" fontId="27" fillId="17" borderId="3" xfId="0" applyFont="1" applyFill="1" applyBorder="1" applyAlignment="1">
      <alignment horizontal="center" vertical="center"/>
    </xf>
    <xf numFmtId="171" fontId="25" fillId="14" borderId="1" xfId="0" applyNumberFormat="1" applyFont="1" applyFill="1" applyBorder="1" applyAlignment="1">
      <alignment horizontal="center" vertical="center"/>
    </xf>
    <xf numFmtId="167" fontId="1" fillId="16" borderId="1" xfId="0" applyNumberFormat="1" applyFont="1" applyFill="1" applyBorder="1" applyAlignment="1">
      <alignment horizontal="right" vertical="center"/>
    </xf>
    <xf numFmtId="1" fontId="25" fillId="14" borderId="1" xfId="0" applyNumberFormat="1" applyFont="1" applyFill="1" applyBorder="1" applyAlignment="1">
      <alignment horizontal="center" vertical="center"/>
    </xf>
    <xf numFmtId="11" fontId="25" fillId="14" borderId="1" xfId="0" applyNumberFormat="1" applyFont="1" applyFill="1" applyBorder="1" applyAlignment="1">
      <alignment horizontal="center" vertical="center"/>
    </xf>
    <xf numFmtId="0" fontId="2" fillId="15" borderId="2" xfId="0" applyFont="1" applyFill="1" applyBorder="1" applyAlignment="1">
      <alignment horizontal="right" vertical="center"/>
    </xf>
    <xf numFmtId="1" fontId="1" fillId="35" borderId="2" xfId="0" applyNumberFormat="1" applyFont="1" applyFill="1" applyBorder="1" applyAlignment="1">
      <alignment horizontal="right" vertical="center"/>
    </xf>
    <xf numFmtId="1" fontId="1" fillId="25" borderId="2" xfId="0" applyNumberFormat="1" applyFont="1" applyFill="1" applyBorder="1" applyAlignment="1">
      <alignment horizontal="right" vertical="center"/>
    </xf>
    <xf numFmtId="1" fontId="1" fillId="7" borderId="2" xfId="0" applyNumberFormat="1" applyFont="1" applyFill="1" applyBorder="1" applyAlignment="1">
      <alignment horizontal="right" vertical="center"/>
    </xf>
    <xf numFmtId="1" fontId="1" fillId="29" borderId="2" xfId="0" applyNumberFormat="1" applyFont="1" applyFill="1" applyBorder="1" applyAlignment="1">
      <alignment horizontal="right" vertical="center"/>
    </xf>
    <xf numFmtId="168" fontId="1" fillId="12" borderId="2" xfId="0" applyNumberFormat="1" applyFont="1" applyFill="1" applyBorder="1" applyAlignment="1">
      <alignment horizontal="right" vertical="center"/>
    </xf>
    <xf numFmtId="168" fontId="1" fillId="23" borderId="2" xfId="0" applyNumberFormat="1" applyFont="1" applyFill="1" applyBorder="1" applyAlignment="1">
      <alignment horizontal="right" vertical="center"/>
    </xf>
    <xf numFmtId="0" fontId="16" fillId="7" borderId="1" xfId="0" applyFont="1" applyFill="1" applyBorder="1" applyAlignment="1">
      <alignment horizontal="center" vertical="center"/>
    </xf>
    <xf numFmtId="1" fontId="1" fillId="7" borderId="1" xfId="3" applyNumberFormat="1" applyFont="1" applyFill="1" applyBorder="1" applyAlignment="1">
      <alignment horizontal="center" vertical="center"/>
    </xf>
    <xf numFmtId="1" fontId="1" fillId="5" borderId="7" xfId="3" applyNumberFormat="1" applyFont="1" applyFill="1" applyBorder="1" applyAlignment="1">
      <alignment horizontal="center" vertical="center"/>
    </xf>
    <xf numFmtId="168" fontId="1" fillId="36" borderId="1" xfId="3" applyNumberFormat="1" applyFont="1" applyFill="1" applyBorder="1" applyAlignment="1">
      <alignment horizontal="right" vertical="center"/>
    </xf>
    <xf numFmtId="0" fontId="2" fillId="8" borderId="1" xfId="0" applyFont="1" applyFill="1" applyBorder="1" applyAlignment="1">
      <alignment horizontal="right" vertical="center"/>
    </xf>
    <xf numFmtId="2" fontId="3" fillId="5" borderId="3" xfId="0" applyNumberFormat="1" applyFont="1" applyFill="1" applyBorder="1" applyAlignment="1">
      <alignment horizontal="right" vertical="center"/>
    </xf>
    <xf numFmtId="0" fontId="1" fillId="5" borderId="2" xfId="0" applyFont="1" applyFill="1" applyBorder="1" applyAlignment="1">
      <alignment horizontal="right" vertical="center"/>
    </xf>
    <xf numFmtId="0" fontId="1" fillId="7" borderId="2" xfId="0" applyFont="1" applyFill="1" applyBorder="1" applyAlignment="1">
      <alignment horizontal="right" vertical="center"/>
    </xf>
    <xf numFmtId="0" fontId="3" fillId="5" borderId="1" xfId="0" applyFont="1" applyFill="1" applyBorder="1" applyAlignment="1">
      <alignment horizontal="center" vertical="center"/>
    </xf>
    <xf numFmtId="0" fontId="31" fillId="5" borderId="0" xfId="3" applyFont="1" applyFill="1" applyAlignment="1">
      <alignment horizontal="center" vertical="center"/>
    </xf>
    <xf numFmtId="168" fontId="2" fillId="33" borderId="1" xfId="0" applyNumberFormat="1" applyFont="1" applyFill="1" applyBorder="1" applyAlignment="1">
      <alignment horizontal="right" vertical="center"/>
    </xf>
    <xf numFmtId="0" fontId="2" fillId="5" borderId="0" xfId="0" applyFont="1" applyFill="1" applyBorder="1" applyAlignment="1">
      <alignment horizontal="right" vertical="center"/>
    </xf>
    <xf numFmtId="0" fontId="13" fillId="5" borderId="0" xfId="0" applyFont="1" applyFill="1" applyAlignment="1">
      <alignment horizontal="right" vertical="center"/>
    </xf>
    <xf numFmtId="168" fontId="2" fillId="21" borderId="1" xfId="0" applyNumberFormat="1" applyFont="1" applyFill="1" applyBorder="1" applyAlignment="1">
      <alignment horizontal="right" vertical="center"/>
    </xf>
    <xf numFmtId="168" fontId="2" fillId="23" borderId="1" xfId="0" applyNumberFormat="1" applyFont="1" applyFill="1" applyBorder="1" applyAlignment="1">
      <alignment horizontal="right" vertical="center"/>
    </xf>
    <xf numFmtId="1" fontId="1" fillId="5" borderId="2" xfId="3" applyNumberFormat="1" applyFont="1" applyFill="1" applyBorder="1" applyAlignment="1">
      <alignment horizontal="right" vertical="center"/>
    </xf>
    <xf numFmtId="168" fontId="1" fillId="15" borderId="1" xfId="3" applyNumberFormat="1" applyFont="1" applyFill="1" applyBorder="1" applyAlignment="1">
      <alignment horizontal="right" vertical="center"/>
    </xf>
    <xf numFmtId="2" fontId="7" fillId="10" borderId="2" xfId="0" applyNumberFormat="1" applyFont="1" applyFill="1" applyBorder="1" applyAlignment="1">
      <alignment horizontal="center" vertical="center" wrapText="1"/>
    </xf>
    <xf numFmtId="0" fontId="16" fillId="0" borderId="24" xfId="0" applyFont="1" applyFill="1" applyBorder="1" applyAlignment="1">
      <alignment horizontal="center" vertical="center"/>
    </xf>
    <xf numFmtId="167" fontId="22" fillId="10" borderId="2" xfId="0" applyNumberFormat="1" applyFont="1" applyFill="1" applyBorder="1" applyAlignment="1">
      <alignment horizontal="right" vertical="center"/>
    </xf>
    <xf numFmtId="167" fontId="32" fillId="10" borderId="11" xfId="0" applyNumberFormat="1" applyFont="1" applyFill="1" applyBorder="1" applyAlignment="1">
      <alignment horizontal="right" vertical="center"/>
    </xf>
    <xf numFmtId="167" fontId="1" fillId="10" borderId="11" xfId="0" applyNumberFormat="1" applyFont="1" applyFill="1" applyBorder="1" applyAlignment="1">
      <alignment horizontal="right" vertical="center"/>
    </xf>
    <xf numFmtId="0" fontId="7" fillId="10" borderId="24" xfId="0" applyFont="1" applyFill="1" applyBorder="1" applyAlignment="1">
      <alignment horizontal="center" vertical="center"/>
    </xf>
    <xf numFmtId="10" fontId="2" fillId="10" borderId="24" xfId="5" applyNumberFormat="1" applyFont="1" applyFill="1" applyBorder="1" applyAlignment="1">
      <alignment horizontal="right" vertical="center"/>
    </xf>
    <xf numFmtId="1" fontId="2" fillId="10" borderId="25" xfId="0" applyNumberFormat="1" applyFont="1" applyFill="1" applyBorder="1" applyAlignment="1">
      <alignment horizontal="right" vertical="center"/>
    </xf>
    <xf numFmtId="2" fontId="3" fillId="0" borderId="1" xfId="0" applyNumberFormat="1" applyFont="1" applyBorder="1" applyAlignment="1">
      <alignment horizontal="right" vertical="center"/>
    </xf>
    <xf numFmtId="167" fontId="7" fillId="14" borderId="1" xfId="0" applyNumberFormat="1" applyFont="1" applyFill="1" applyBorder="1" applyAlignment="1">
      <alignment horizontal="center" vertical="center"/>
    </xf>
    <xf numFmtId="0" fontId="14" fillId="21" borderId="28" xfId="0" quotePrefix="1" applyFont="1" applyFill="1" applyBorder="1" applyAlignment="1">
      <alignment horizontal="right" vertical="center"/>
    </xf>
    <xf numFmtId="2" fontId="3" fillId="5" borderId="7" xfId="0" applyNumberFormat="1" applyFont="1" applyFill="1" applyBorder="1" applyAlignment="1">
      <alignment horizontal="right" vertical="center"/>
    </xf>
    <xf numFmtId="0" fontId="3" fillId="5" borderId="2" xfId="0" applyFont="1" applyFill="1" applyBorder="1" applyAlignment="1">
      <alignment horizontal="center" vertical="center"/>
    </xf>
    <xf numFmtId="0" fontId="3" fillId="37" borderId="2" xfId="0" applyFont="1" applyFill="1" applyBorder="1" applyAlignment="1">
      <alignment horizontal="center" vertical="center"/>
    </xf>
    <xf numFmtId="167" fontId="1" fillId="5" borderId="1" xfId="0" applyNumberFormat="1" applyFont="1" applyFill="1" applyBorder="1" applyAlignment="1">
      <alignment horizontal="right" vertical="center" wrapText="1"/>
    </xf>
    <xf numFmtId="167" fontId="10" fillId="5" borderId="1" xfId="1" applyNumberFormat="1" applyFont="1" applyFill="1" applyBorder="1" applyAlignment="1">
      <alignment horizontal="right" vertical="center"/>
    </xf>
    <xf numFmtId="9" fontId="10" fillId="5" borderId="5" xfId="5" applyFont="1" applyFill="1" applyBorder="1" applyAlignment="1">
      <alignment horizontal="right" vertical="center" wrapText="1"/>
    </xf>
    <xf numFmtId="1" fontId="3" fillId="5" borderId="1" xfId="0" applyNumberFormat="1" applyFont="1" applyFill="1" applyBorder="1" applyAlignment="1">
      <alignment horizontal="right" vertical="center"/>
    </xf>
    <xf numFmtId="14" fontId="3" fillId="5" borderId="2" xfId="0" applyNumberFormat="1" applyFont="1" applyFill="1" applyBorder="1" applyAlignment="1">
      <alignment horizontal="right" vertical="center"/>
    </xf>
    <xf numFmtId="14" fontId="3" fillId="5" borderId="1" xfId="0" applyNumberFormat="1" applyFont="1" applyFill="1" applyBorder="1" applyAlignment="1">
      <alignment horizontal="right" vertical="center"/>
    </xf>
    <xf numFmtId="168" fontId="3" fillId="5" borderId="1" xfId="0" applyNumberFormat="1" applyFont="1" applyFill="1" applyBorder="1" applyAlignment="1">
      <alignment horizontal="right" vertical="center"/>
    </xf>
    <xf numFmtId="1" fontId="3" fillId="5" borderId="3" xfId="0" applyNumberFormat="1" applyFont="1" applyFill="1" applyBorder="1" applyAlignment="1">
      <alignment horizontal="right" vertical="center"/>
    </xf>
    <xf numFmtId="0" fontId="3" fillId="19" borderId="1" xfId="0" quotePrefix="1" applyFont="1" applyFill="1" applyBorder="1" applyAlignment="1">
      <alignment horizontal="right" vertical="center"/>
    </xf>
    <xf numFmtId="0" fontId="14" fillId="5" borderId="1" xfId="0" quotePrefix="1" applyFont="1" applyFill="1" applyBorder="1" applyAlignment="1">
      <alignment horizontal="right" vertical="center"/>
    </xf>
    <xf numFmtId="167" fontId="3" fillId="24" borderId="2" xfId="0" applyNumberFormat="1" applyFont="1" applyFill="1" applyBorder="1" applyAlignment="1">
      <alignment horizontal="right" vertical="center"/>
    </xf>
    <xf numFmtId="167" fontId="3" fillId="25" borderId="2" xfId="0" applyNumberFormat="1" applyFont="1" applyFill="1" applyBorder="1" applyAlignment="1">
      <alignment horizontal="right" vertical="center"/>
    </xf>
    <xf numFmtId="167" fontId="3" fillId="25" borderId="1" xfId="0" applyNumberFormat="1" applyFont="1" applyFill="1" applyBorder="1" applyAlignment="1">
      <alignment horizontal="right" vertical="center"/>
    </xf>
    <xf numFmtId="167" fontId="0" fillId="6" borderId="0" xfId="0" applyNumberFormat="1" applyFill="1" applyBorder="1" applyAlignment="1">
      <alignment horizontal="center" vertical="center"/>
    </xf>
    <xf numFmtId="168" fontId="0" fillId="6" borderId="0" xfId="0" applyNumberFormat="1" applyFill="1" applyBorder="1" applyAlignment="1">
      <alignment horizontal="center" vertical="center"/>
    </xf>
    <xf numFmtId="2" fontId="3" fillId="18" borderId="1" xfId="0" applyNumberFormat="1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34" fillId="0" borderId="0" xfId="0" applyFont="1" applyAlignment="1">
      <alignment vertical="top" wrapText="1"/>
    </xf>
    <xf numFmtId="0" fontId="33" fillId="5" borderId="0" xfId="0" applyFont="1" applyFill="1" applyAlignment="1">
      <alignment vertical="center" wrapText="1"/>
    </xf>
    <xf numFmtId="1" fontId="1" fillId="5" borderId="0" xfId="0" applyNumberFormat="1" applyFont="1" applyFill="1" applyBorder="1" applyAlignment="1">
      <alignment horizontal="center" vertical="center"/>
    </xf>
    <xf numFmtId="1" fontId="1" fillId="5" borderId="20" xfId="0" applyNumberFormat="1" applyFont="1" applyFill="1" applyBorder="1" applyAlignment="1">
      <alignment horizontal="center" vertical="center"/>
    </xf>
    <xf numFmtId="1" fontId="1" fillId="12" borderId="32" xfId="0" applyNumberFormat="1" applyFont="1" applyFill="1" applyBorder="1" applyAlignment="1">
      <alignment horizontal="center" vertical="center"/>
    </xf>
    <xf numFmtId="0" fontId="16" fillId="12" borderId="31" xfId="0" applyFont="1" applyFill="1" applyBorder="1" applyAlignment="1">
      <alignment horizontal="center" vertical="center"/>
    </xf>
    <xf numFmtId="2" fontId="1" fillId="5" borderId="7" xfId="0" applyNumberFormat="1" applyFont="1" applyFill="1" applyBorder="1" applyAlignment="1">
      <alignment horizontal="center" vertical="center"/>
    </xf>
    <xf numFmtId="2" fontId="1" fillId="5" borderId="33" xfId="0" applyNumberFormat="1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167" fontId="3" fillId="5" borderId="34" xfId="0" applyNumberFormat="1" applyFont="1" applyFill="1" applyBorder="1" applyAlignment="1">
      <alignment horizontal="center" vertical="center"/>
    </xf>
    <xf numFmtId="167" fontId="3" fillId="5" borderId="35" xfId="0" applyNumberFormat="1" applyFont="1" applyFill="1" applyBorder="1" applyAlignment="1">
      <alignment horizontal="center" vertical="center"/>
    </xf>
    <xf numFmtId="0" fontId="3" fillId="5" borderId="35" xfId="0" applyFont="1" applyFill="1" applyBorder="1" applyAlignment="1">
      <alignment horizontal="center" vertical="center"/>
    </xf>
    <xf numFmtId="1" fontId="3" fillId="0" borderId="24" xfId="4" applyNumberFormat="1" applyFont="1" applyFill="1" applyBorder="1" applyAlignment="1">
      <alignment horizontal="center" vertical="center" wrapText="1"/>
    </xf>
    <xf numFmtId="1" fontId="3" fillId="0" borderId="1" xfId="4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left" vertical="center"/>
    </xf>
    <xf numFmtId="0" fontId="16" fillId="12" borderId="19" xfId="0" applyFont="1" applyFill="1" applyBorder="1" applyAlignment="1">
      <alignment horizontal="center" vertical="center"/>
    </xf>
    <xf numFmtId="0" fontId="3" fillId="37" borderId="22" xfId="0" applyFont="1" applyFill="1" applyBorder="1" applyAlignment="1">
      <alignment horizontal="center" vertical="center"/>
    </xf>
    <xf numFmtId="0" fontId="3" fillId="37" borderId="24" xfId="0" applyFont="1" applyFill="1" applyBorder="1" applyAlignment="1">
      <alignment horizontal="center" vertical="center"/>
    </xf>
    <xf numFmtId="0" fontId="3" fillId="37" borderId="10" xfId="0" applyFont="1" applyFill="1" applyBorder="1" applyAlignment="1">
      <alignment horizontal="center" vertical="center"/>
    </xf>
    <xf numFmtId="2" fontId="1" fillId="18" borderId="3" xfId="0" applyNumberFormat="1" applyFont="1" applyFill="1" applyBorder="1" applyAlignment="1">
      <alignment horizontal="right" vertical="center"/>
    </xf>
    <xf numFmtId="168" fontId="3" fillId="5" borderId="2" xfId="0" applyNumberFormat="1" applyFont="1" applyFill="1" applyBorder="1" applyAlignment="1">
      <alignment horizontal="right" vertical="center"/>
    </xf>
    <xf numFmtId="0" fontId="14" fillId="21" borderId="24" xfId="0" quotePrefix="1" applyFont="1" applyFill="1" applyBorder="1" applyAlignment="1">
      <alignment horizontal="right" vertical="center"/>
    </xf>
    <xf numFmtId="0" fontId="14" fillId="5" borderId="5" xfId="0" quotePrefix="1" applyFont="1" applyFill="1" applyBorder="1" applyAlignment="1">
      <alignment horizontal="right" vertical="center"/>
    </xf>
    <xf numFmtId="167" fontId="14" fillId="5" borderId="5" xfId="0" applyNumberFormat="1" applyFont="1" applyFill="1" applyBorder="1" applyAlignment="1">
      <alignment horizontal="right" vertical="center"/>
    </xf>
    <xf numFmtId="0" fontId="14" fillId="5" borderId="20" xfId="0" applyFont="1" applyFill="1" applyBorder="1" applyAlignment="1">
      <alignment horizontal="center" vertical="center"/>
    </xf>
    <xf numFmtId="167" fontId="14" fillId="21" borderId="28" xfId="0" applyNumberFormat="1" applyFont="1" applyFill="1" applyBorder="1" applyAlignment="1">
      <alignment horizontal="right" vertical="center"/>
    </xf>
    <xf numFmtId="165" fontId="14" fillId="5" borderId="1" xfId="5" applyNumberFormat="1" applyFont="1" applyFill="1" applyBorder="1" applyAlignment="1">
      <alignment horizontal="right" vertical="center"/>
    </xf>
    <xf numFmtId="167" fontId="14" fillId="5" borderId="10" xfId="0" applyNumberFormat="1" applyFont="1" applyFill="1" applyBorder="1" applyAlignment="1">
      <alignment horizontal="right" vertical="center"/>
    </xf>
    <xf numFmtId="0" fontId="14" fillId="5" borderId="2" xfId="0" applyFont="1" applyFill="1" applyBorder="1" applyAlignment="1">
      <alignment horizontal="center" vertical="center"/>
    </xf>
    <xf numFmtId="170" fontId="3" fillId="0" borderId="24" xfId="2" applyNumberFormat="1" applyFont="1" applyFill="1" applyBorder="1" applyAlignment="1">
      <alignment horizontal="right" vertical="center"/>
    </xf>
    <xf numFmtId="170" fontId="3" fillId="0" borderId="2" xfId="2" applyNumberFormat="1" applyFont="1" applyFill="1" applyBorder="1" applyAlignment="1">
      <alignment horizontal="right" vertical="center"/>
    </xf>
    <xf numFmtId="170" fontId="3" fillId="0" borderId="1" xfId="2" applyNumberFormat="1" applyFont="1" applyFill="1" applyBorder="1" applyAlignment="1">
      <alignment horizontal="right" vertical="center"/>
    </xf>
    <xf numFmtId="170" fontId="3" fillId="0" borderId="5" xfId="2" applyNumberFormat="1" applyFont="1" applyFill="1" applyBorder="1" applyAlignment="1">
      <alignment horizontal="right" vertical="center"/>
    </xf>
    <xf numFmtId="1" fontId="3" fillId="0" borderId="2" xfId="4" applyNumberFormat="1" applyFont="1" applyFill="1" applyBorder="1" applyAlignment="1">
      <alignment horizontal="center" vertical="center" wrapText="1"/>
    </xf>
    <xf numFmtId="170" fontId="3" fillId="5" borderId="1" xfId="0" applyNumberFormat="1" applyFont="1" applyFill="1" applyBorder="1" applyAlignment="1">
      <alignment horizontal="right" vertical="center"/>
    </xf>
    <xf numFmtId="170" fontId="3" fillId="5" borderId="5" xfId="0" applyNumberFormat="1" applyFont="1" applyFill="1" applyBorder="1" applyAlignment="1">
      <alignment horizontal="right" vertical="center"/>
    </xf>
    <xf numFmtId="0" fontId="3" fillId="37" borderId="1" xfId="0" applyFont="1" applyFill="1" applyBorder="1" applyAlignment="1">
      <alignment horizontal="center" vertical="center"/>
    </xf>
    <xf numFmtId="167" fontId="3" fillId="25" borderId="1" xfId="5" applyNumberFormat="1" applyFont="1" applyFill="1" applyBorder="1" applyAlignment="1">
      <alignment horizontal="right" vertical="center"/>
    </xf>
    <xf numFmtId="1" fontId="3" fillId="8" borderId="2" xfId="4" quotePrefix="1" applyNumberFormat="1" applyFont="1" applyFill="1" applyBorder="1" applyAlignment="1">
      <alignment horizontal="center" vertical="center" wrapText="1"/>
    </xf>
    <xf numFmtId="1" fontId="35" fillId="0" borderId="2" xfId="4" applyNumberFormat="1" applyFont="1" applyFill="1" applyBorder="1" applyAlignment="1">
      <alignment horizontal="center" vertical="center" wrapText="1"/>
    </xf>
    <xf numFmtId="1" fontId="35" fillId="0" borderId="1" xfId="4" applyNumberFormat="1" applyFont="1" applyFill="1" applyBorder="1" applyAlignment="1">
      <alignment horizontal="center" vertical="center" wrapText="1"/>
    </xf>
    <xf numFmtId="167" fontId="35" fillId="0" borderId="2" xfId="2" applyNumberFormat="1" applyFont="1" applyFill="1" applyBorder="1" applyAlignment="1">
      <alignment horizontal="right" vertical="center"/>
    </xf>
    <xf numFmtId="167" fontId="35" fillId="0" borderId="1" xfId="2" applyNumberFormat="1" applyFont="1" applyFill="1" applyBorder="1" applyAlignment="1">
      <alignment horizontal="right" vertical="center"/>
    </xf>
    <xf numFmtId="167" fontId="0" fillId="5" borderId="31" xfId="0" applyNumberFormat="1" applyFill="1" applyBorder="1" applyAlignment="1">
      <alignment horizontal="center" vertical="center"/>
    </xf>
    <xf numFmtId="0" fontId="14" fillId="5" borderId="21" xfId="0" applyFont="1" applyFill="1" applyBorder="1" applyAlignment="1">
      <alignment horizontal="center" vertical="center"/>
    </xf>
    <xf numFmtId="0" fontId="14" fillId="5" borderId="37" xfId="0" quotePrefix="1" applyFont="1" applyFill="1" applyBorder="1" applyAlignment="1">
      <alignment horizontal="right" vertical="center"/>
    </xf>
    <xf numFmtId="0" fontId="18" fillId="5" borderId="30" xfId="3" applyFont="1" applyFill="1" applyBorder="1" applyAlignment="1">
      <alignment horizontal="right" vertical="center"/>
    </xf>
    <xf numFmtId="0" fontId="18" fillId="5" borderId="0" xfId="3" applyFont="1" applyFill="1" applyBorder="1" applyAlignment="1">
      <alignment horizontal="right" vertical="center"/>
    </xf>
    <xf numFmtId="0" fontId="16" fillId="5" borderId="0" xfId="0" applyFont="1" applyFill="1" applyBorder="1" applyAlignment="1">
      <alignment horizontal="right" vertical="center"/>
    </xf>
    <xf numFmtId="0" fontId="37" fillId="5" borderId="0" xfId="3" applyFont="1" applyFill="1" applyAlignment="1">
      <alignment horizontal="center" vertical="center"/>
    </xf>
    <xf numFmtId="0" fontId="13" fillId="5" borderId="0" xfId="0" applyFont="1" applyFill="1" applyBorder="1" applyAlignment="1">
      <alignment horizontal="right" vertical="center"/>
    </xf>
    <xf numFmtId="0" fontId="16" fillId="5" borderId="0" xfId="0" applyFont="1" applyFill="1" applyBorder="1" applyAlignment="1">
      <alignment horizontal="center" vertical="center"/>
    </xf>
    <xf numFmtId="2" fontId="38" fillId="5" borderId="3" xfId="0" applyNumberFormat="1" applyFont="1" applyFill="1" applyBorder="1" applyAlignment="1">
      <alignment horizontal="right" vertical="center"/>
    </xf>
    <xf numFmtId="2" fontId="38" fillId="5" borderId="22" xfId="0" applyNumberFormat="1" applyFont="1" applyFill="1" applyBorder="1" applyAlignment="1">
      <alignment horizontal="right" vertical="center"/>
    </xf>
    <xf numFmtId="2" fontId="38" fillId="5" borderId="2" xfId="0" applyNumberFormat="1" applyFont="1" applyFill="1" applyBorder="1" applyAlignment="1">
      <alignment horizontal="right" vertical="center"/>
    </xf>
    <xf numFmtId="10" fontId="16" fillId="18" borderId="3" xfId="5" applyNumberFormat="1" applyFont="1" applyFill="1" applyBorder="1" applyAlignment="1">
      <alignment horizontal="center" vertical="center"/>
    </xf>
    <xf numFmtId="10" fontId="16" fillId="5" borderId="1" xfId="5" applyNumberFormat="1" applyFont="1" applyFill="1" applyBorder="1" applyAlignment="1">
      <alignment horizontal="center" vertical="center"/>
    </xf>
    <xf numFmtId="170" fontId="16" fillId="5" borderId="1" xfId="0" applyNumberFormat="1" applyFont="1" applyFill="1" applyBorder="1" applyAlignment="1">
      <alignment horizontal="center" vertical="center"/>
    </xf>
    <xf numFmtId="1" fontId="3" fillId="5" borderId="0" xfId="0" applyNumberFormat="1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 wrapText="1"/>
    </xf>
    <xf numFmtId="166" fontId="3" fillId="0" borderId="23" xfId="0" applyNumberFormat="1" applyFont="1" applyBorder="1" applyAlignment="1">
      <alignment horizontal="center" vertical="center"/>
    </xf>
    <xf numFmtId="167" fontId="7" fillId="14" borderId="3" xfId="0" applyNumberFormat="1" applyFont="1" applyFill="1" applyBorder="1" applyAlignment="1">
      <alignment horizontal="center" vertical="center"/>
    </xf>
    <xf numFmtId="0" fontId="7" fillId="14" borderId="38" xfId="0" applyFont="1" applyFill="1" applyBorder="1" applyAlignment="1">
      <alignment horizontal="center" vertical="center"/>
    </xf>
    <xf numFmtId="0" fontId="7" fillId="14" borderId="32" xfId="0" applyFont="1" applyFill="1" applyBorder="1" applyAlignment="1">
      <alignment horizontal="center" vertical="center"/>
    </xf>
    <xf numFmtId="0" fontId="7" fillId="14" borderId="39" xfId="0" applyFont="1" applyFill="1" applyBorder="1" applyAlignment="1">
      <alignment horizontal="center" vertical="center"/>
    </xf>
    <xf numFmtId="0" fontId="7" fillId="14" borderId="2" xfId="0" applyFont="1" applyFill="1" applyBorder="1" applyAlignment="1">
      <alignment horizontal="center" vertical="center"/>
    </xf>
    <xf numFmtId="0" fontId="7" fillId="14" borderId="40" xfId="0" applyFont="1" applyFill="1" applyBorder="1" applyAlignment="1">
      <alignment horizontal="center" vertical="center"/>
    </xf>
    <xf numFmtId="0" fontId="7" fillId="14" borderId="21" xfId="0" applyFont="1" applyFill="1" applyBorder="1" applyAlignment="1">
      <alignment horizontal="center" vertical="center"/>
    </xf>
    <xf numFmtId="0" fontId="7" fillId="14" borderId="41" xfId="0" applyFont="1" applyFill="1" applyBorder="1" applyAlignment="1">
      <alignment horizontal="center" vertical="center"/>
    </xf>
    <xf numFmtId="0" fontId="39" fillId="0" borderId="23" xfId="0" applyFont="1" applyFill="1" applyBorder="1" applyAlignment="1">
      <alignment horizontal="center" vertical="center"/>
    </xf>
    <xf numFmtId="0" fontId="7" fillId="14" borderId="43" xfId="0" applyFont="1" applyFill="1" applyBorder="1" applyAlignment="1">
      <alignment horizontal="center" vertical="center"/>
    </xf>
    <xf numFmtId="0" fontId="7" fillId="14" borderId="42" xfId="0" applyFont="1" applyFill="1" applyBorder="1" applyAlignment="1">
      <alignment horizontal="center" vertical="center"/>
    </xf>
    <xf numFmtId="0" fontId="32" fillId="6" borderId="0" xfId="0" applyFont="1" applyFill="1" applyBorder="1" applyAlignment="1">
      <alignment horizontal="center" vertical="center"/>
    </xf>
    <xf numFmtId="0" fontId="15" fillId="21" borderId="44" xfId="0" applyFont="1" applyFill="1" applyBorder="1" applyAlignment="1">
      <alignment horizontal="right" vertical="center"/>
    </xf>
    <xf numFmtId="167" fontId="13" fillId="21" borderId="45" xfId="0" applyNumberFormat="1" applyFont="1" applyFill="1" applyBorder="1" applyAlignment="1">
      <alignment horizontal="right" vertical="center"/>
    </xf>
    <xf numFmtId="2" fontId="1" fillId="5" borderId="2" xfId="0" applyNumberFormat="1" applyFont="1" applyFill="1" applyBorder="1" applyAlignment="1">
      <alignment horizontal="center" vertical="center"/>
    </xf>
    <xf numFmtId="2" fontId="1" fillId="5" borderId="11" xfId="0" applyNumberFormat="1" applyFont="1" applyFill="1" applyBorder="1" applyAlignment="1">
      <alignment horizontal="center" vertical="center"/>
    </xf>
    <xf numFmtId="2" fontId="1" fillId="5" borderId="36" xfId="0" applyNumberFormat="1" applyFont="1" applyFill="1" applyBorder="1" applyAlignment="1">
      <alignment horizontal="center" vertical="center"/>
    </xf>
    <xf numFmtId="2" fontId="1" fillId="5" borderId="13" xfId="0" applyNumberFormat="1" applyFont="1" applyFill="1" applyBorder="1" applyAlignment="1">
      <alignment horizontal="center" vertical="center"/>
    </xf>
    <xf numFmtId="2" fontId="1" fillId="5" borderId="5" xfId="0" applyNumberFormat="1" applyFont="1" applyFill="1" applyBorder="1" applyAlignment="1">
      <alignment horizontal="center" vertical="center"/>
    </xf>
    <xf numFmtId="2" fontId="1" fillId="5" borderId="24" xfId="0" applyNumberFormat="1" applyFont="1" applyFill="1" applyBorder="1" applyAlignment="1">
      <alignment horizontal="center" vertical="center"/>
    </xf>
    <xf numFmtId="2" fontId="1" fillId="5" borderId="25" xfId="0" applyNumberFormat="1" applyFont="1" applyFill="1" applyBorder="1" applyAlignment="1">
      <alignment horizontal="center" vertical="center"/>
    </xf>
    <xf numFmtId="2" fontId="1" fillId="18" borderId="5" xfId="0" applyNumberFormat="1" applyFont="1" applyFill="1" applyBorder="1" applyAlignment="1">
      <alignment horizontal="right" vertical="center"/>
    </xf>
    <xf numFmtId="0" fontId="1" fillId="6" borderId="0" xfId="0" quotePrefix="1" applyFont="1" applyFill="1" applyAlignment="1">
      <alignment horizontal="center" vertical="center" wrapText="1"/>
    </xf>
    <xf numFmtId="0" fontId="40" fillId="5" borderId="2" xfId="0" quotePrefix="1" applyFont="1" applyFill="1" applyBorder="1" applyAlignment="1">
      <alignment horizontal="right" vertical="center"/>
    </xf>
    <xf numFmtId="9" fontId="13" fillId="5" borderId="1" xfId="5" applyFont="1" applyFill="1" applyBorder="1" applyAlignment="1">
      <alignment horizontal="center" vertical="center"/>
    </xf>
    <xf numFmtId="0" fontId="1" fillId="5" borderId="46" xfId="0" applyFont="1" applyFill="1" applyBorder="1" applyAlignment="1">
      <alignment horizontal="center" vertical="center"/>
    </xf>
    <xf numFmtId="0" fontId="16" fillId="5" borderId="46" xfId="0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vertical="center" wrapText="1"/>
    </xf>
    <xf numFmtId="0" fontId="41" fillId="5" borderId="0" xfId="0" applyFont="1" applyFill="1" applyBorder="1" applyAlignment="1">
      <alignment horizontal="center" vertical="center" wrapText="1"/>
    </xf>
    <xf numFmtId="9" fontId="41" fillId="5" borderId="0" xfId="5" applyFont="1" applyFill="1" applyBorder="1" applyAlignment="1">
      <alignment horizontal="center" vertical="center" wrapText="1"/>
    </xf>
    <xf numFmtId="1" fontId="42" fillId="8" borderId="1" xfId="0" applyNumberFormat="1" applyFont="1" applyFill="1" applyBorder="1" applyAlignment="1">
      <alignment horizontal="center" vertical="center" wrapText="1"/>
    </xf>
    <xf numFmtId="1" fontId="42" fillId="7" borderId="1" xfId="0" applyNumberFormat="1" applyFont="1" applyFill="1" applyBorder="1" applyAlignment="1">
      <alignment horizontal="center" vertical="center" wrapText="1"/>
    </xf>
    <xf numFmtId="167" fontId="3" fillId="5" borderId="7" xfId="0" applyNumberFormat="1" applyFont="1" applyFill="1" applyBorder="1" applyAlignment="1">
      <alignment horizontal="right" vertical="center"/>
    </xf>
    <xf numFmtId="167" fontId="35" fillId="27" borderId="1" xfId="2" applyNumberFormat="1" applyFont="1" applyFill="1" applyBorder="1" applyAlignment="1">
      <alignment horizontal="right" vertical="center"/>
    </xf>
    <xf numFmtId="167" fontId="35" fillId="29" borderId="1" xfId="2" applyNumberFormat="1" applyFont="1" applyFill="1" applyBorder="1" applyAlignment="1">
      <alignment horizontal="right" vertical="center"/>
    </xf>
    <xf numFmtId="167" fontId="35" fillId="38" borderId="1" xfId="2" applyNumberFormat="1" applyFont="1" applyFill="1" applyBorder="1" applyAlignment="1">
      <alignment horizontal="right" vertical="center"/>
    </xf>
    <xf numFmtId="167" fontId="35" fillId="24" borderId="1" xfId="2" applyNumberFormat="1" applyFont="1" applyFill="1" applyBorder="1" applyAlignment="1">
      <alignment horizontal="right" vertical="center"/>
    </xf>
    <xf numFmtId="1" fontId="43" fillId="35" borderId="2" xfId="0" applyNumberFormat="1" applyFont="1" applyFill="1" applyBorder="1" applyAlignment="1">
      <alignment horizontal="right" vertical="center"/>
    </xf>
    <xf numFmtId="1" fontId="44" fillId="35" borderId="2" xfId="0" applyNumberFormat="1" applyFont="1" applyFill="1" applyBorder="1" applyAlignment="1">
      <alignment horizontal="right" vertical="center"/>
    </xf>
    <xf numFmtId="1" fontId="45" fillId="35" borderId="2" xfId="0" applyNumberFormat="1" applyFont="1" applyFill="1" applyBorder="1" applyAlignment="1">
      <alignment horizontal="right" vertical="center"/>
    </xf>
    <xf numFmtId="1" fontId="3" fillId="12" borderId="0" xfId="0" applyNumberFormat="1" applyFont="1" applyFill="1" applyBorder="1" applyAlignment="1">
      <alignment horizontal="center" vertical="center"/>
    </xf>
    <xf numFmtId="10" fontId="7" fillId="27" borderId="1" xfId="5" applyNumberFormat="1" applyFont="1" applyFill="1" applyBorder="1" applyAlignment="1">
      <alignment horizontal="right" vertical="center"/>
    </xf>
    <xf numFmtId="10" fontId="7" fillId="37" borderId="1" xfId="5" applyNumberFormat="1" applyFont="1" applyFill="1" applyBorder="1" applyAlignment="1">
      <alignment horizontal="right" vertical="center"/>
    </xf>
    <xf numFmtId="10" fontId="7" fillId="23" borderId="1" xfId="5" applyNumberFormat="1" applyFont="1" applyFill="1" applyBorder="1" applyAlignment="1">
      <alignment horizontal="right" vertical="center"/>
    </xf>
    <xf numFmtId="172" fontId="0" fillId="5" borderId="0" xfId="0" applyNumberFormat="1" applyFill="1" applyBorder="1" applyAlignment="1">
      <alignment horizontal="center" vertical="center"/>
    </xf>
    <xf numFmtId="166" fontId="16" fillId="5" borderId="0" xfId="0" applyNumberFormat="1" applyFont="1" applyFill="1" applyAlignment="1">
      <alignment horizontal="center" vertical="center"/>
    </xf>
    <xf numFmtId="1" fontId="23" fillId="12" borderId="8" xfId="0" applyNumberFormat="1" applyFont="1" applyFill="1" applyBorder="1" applyAlignment="1">
      <alignment horizontal="right" vertical="center"/>
    </xf>
    <xf numFmtId="166" fontId="1" fillId="5" borderId="7" xfId="0" applyNumberFormat="1" applyFont="1" applyFill="1" applyBorder="1" applyAlignment="1">
      <alignment horizontal="right" vertical="center"/>
    </xf>
    <xf numFmtId="166" fontId="1" fillId="38" borderId="1" xfId="0" applyNumberFormat="1" applyFont="1" applyFill="1" applyBorder="1" applyAlignment="1">
      <alignment horizontal="right" vertical="center"/>
    </xf>
    <xf numFmtId="166" fontId="16" fillId="5" borderId="0" xfId="0" applyNumberFormat="1" applyFont="1" applyFill="1" applyBorder="1" applyAlignment="1">
      <alignment horizontal="center" vertical="center"/>
    </xf>
    <xf numFmtId="10" fontId="1" fillId="31" borderId="1" xfId="5" applyNumberFormat="1" applyFont="1" applyFill="1" applyBorder="1" applyAlignment="1">
      <alignment horizontal="right" vertical="center"/>
    </xf>
    <xf numFmtId="10" fontId="1" fillId="31" borderId="8" xfId="5" applyNumberFormat="1" applyFont="1" applyFill="1" applyBorder="1" applyAlignment="1">
      <alignment horizontal="right" vertical="center"/>
    </xf>
    <xf numFmtId="1" fontId="23" fillId="31" borderId="8" xfId="0" applyNumberFormat="1" applyFont="1" applyFill="1" applyBorder="1" applyAlignment="1">
      <alignment horizontal="right" vertical="center"/>
    </xf>
    <xf numFmtId="1" fontId="23" fillId="10" borderId="8" xfId="0" applyNumberFormat="1" applyFont="1" applyFill="1" applyBorder="1" applyAlignment="1">
      <alignment horizontal="right" vertical="center"/>
    </xf>
    <xf numFmtId="1" fontId="23" fillId="38" borderId="8" xfId="0" applyNumberFormat="1" applyFont="1" applyFill="1" applyBorder="1" applyAlignment="1">
      <alignment horizontal="right" vertical="center"/>
    </xf>
    <xf numFmtId="10" fontId="7" fillId="26" borderId="6" xfId="5" applyNumberFormat="1" applyFont="1" applyFill="1" applyBorder="1" applyAlignment="1">
      <alignment horizontal="right" vertical="center"/>
    </xf>
    <xf numFmtId="0" fontId="7" fillId="14" borderId="19" xfId="0" applyFont="1" applyFill="1" applyBorder="1" applyAlignment="1">
      <alignment horizontal="center" vertical="center"/>
    </xf>
    <xf numFmtId="0" fontId="7" fillId="14" borderId="22" xfId="0" applyFont="1" applyFill="1" applyBorder="1" applyAlignment="1">
      <alignment horizontal="center" vertical="center"/>
    </xf>
    <xf numFmtId="0" fontId="7" fillId="14" borderId="47" xfId="0" applyFont="1" applyFill="1" applyBorder="1" applyAlignment="1">
      <alignment horizontal="center" vertical="center"/>
    </xf>
    <xf numFmtId="0" fontId="7" fillId="14" borderId="48" xfId="0" applyFont="1" applyFill="1" applyBorder="1" applyAlignment="1">
      <alignment horizontal="center" vertical="center"/>
    </xf>
    <xf numFmtId="1" fontId="7" fillId="14" borderId="0" xfId="0" applyNumberFormat="1" applyFont="1" applyFill="1" applyBorder="1" applyAlignment="1">
      <alignment horizontal="center" vertical="center"/>
    </xf>
    <xf numFmtId="10" fontId="7" fillId="14" borderId="43" xfId="5" applyNumberFormat="1" applyFont="1" applyFill="1" applyBorder="1" applyAlignment="1">
      <alignment horizontal="center" vertical="center"/>
    </xf>
    <xf numFmtId="167" fontId="7" fillId="27" borderId="1" xfId="0" applyNumberFormat="1" applyFont="1" applyFill="1" applyBorder="1" applyAlignment="1">
      <alignment horizontal="center" vertical="center"/>
    </xf>
    <xf numFmtId="167" fontId="0" fillId="27" borderId="1" xfId="0" applyNumberFormat="1" applyFill="1" applyBorder="1" applyAlignment="1">
      <alignment horizontal="center" vertical="center"/>
    </xf>
    <xf numFmtId="1" fontId="23" fillId="23" borderId="8" xfId="0" applyNumberFormat="1" applyFont="1" applyFill="1" applyBorder="1" applyAlignment="1">
      <alignment horizontal="right" vertical="center"/>
    </xf>
    <xf numFmtId="166" fontId="1" fillId="5" borderId="0" xfId="0" applyNumberFormat="1" applyFont="1" applyFill="1" applyAlignment="1">
      <alignment horizontal="center" vertical="center"/>
    </xf>
    <xf numFmtId="166" fontId="16" fillId="5" borderId="29" xfId="0" applyNumberFormat="1" applyFont="1" applyFill="1" applyBorder="1" applyAlignment="1">
      <alignment horizontal="center" vertical="center"/>
    </xf>
    <xf numFmtId="0" fontId="17" fillId="17" borderId="22" xfId="0" applyFont="1" applyFill="1" applyBorder="1" applyAlignment="1">
      <alignment horizontal="center" vertical="center" textRotation="90"/>
    </xf>
    <xf numFmtId="0" fontId="17" fillId="17" borderId="2" xfId="0" applyFont="1" applyFill="1" applyBorder="1" applyAlignment="1">
      <alignment horizontal="center" vertical="center" textRotation="90"/>
    </xf>
  </cellXfs>
  <cellStyles count="6">
    <cellStyle name="Check Cell" xfId="1" builtinId="23"/>
    <cellStyle name="Comma" xfId="2" builtinId="3"/>
    <cellStyle name="Explanatory Text" xfId="3" builtinId="53"/>
    <cellStyle name="Good" xfId="4" builtinId="26"/>
    <cellStyle name="Normal" xfId="0" builtinId="0"/>
    <cellStyle name="Percent" xfId="5" builtinId="5"/>
  </cellStyles>
  <dxfs count="4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FFEB9C"/>
        </patternFill>
      </fill>
    </dxf>
  </dxfs>
  <tableStyles count="0" defaultTableStyle="TableStyleMedium9" defaultPivotStyle="PivotStyleLight16"/>
  <colors>
    <mruColors>
      <color rgb="FFC0C0C0"/>
      <color rgb="FF33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BG571"/>
  <sheetViews>
    <sheetView tabSelected="1" zoomScaleNormal="100" workbookViewId="0">
      <pane xSplit="3" ySplit="1" topLeftCell="D138" activePane="bottomRight" state="frozen"/>
      <selection pane="topRight" activeCell="D1" sqref="D1"/>
      <selection pane="bottomLeft" activeCell="A2" sqref="A2"/>
      <selection pane="bottomRight" activeCell="L141" sqref="L141"/>
    </sheetView>
  </sheetViews>
  <sheetFormatPr defaultRowHeight="12"/>
  <cols>
    <col min="1" max="1" width="58.1640625" style="5" bestFit="1" customWidth="1"/>
    <col min="2" max="2" width="6.6640625" style="4" bestFit="1" customWidth="1"/>
    <col min="3" max="3" width="11" style="115" customWidth="1"/>
    <col min="4" max="5" width="16.33203125" style="59" customWidth="1"/>
    <col min="6" max="6" width="15.6640625" style="59" customWidth="1"/>
    <col min="7" max="7" width="16.33203125" style="59" customWidth="1"/>
    <col min="8" max="8" width="19.1640625" style="59" bestFit="1" customWidth="1"/>
    <col min="9" max="9" width="17.33203125" style="59" customWidth="1"/>
    <col min="10" max="11" width="19.1640625" style="59" bestFit="1" customWidth="1"/>
    <col min="12" max="12" width="16.1640625" style="59" customWidth="1"/>
    <col min="13" max="13" width="19.33203125" style="59" customWidth="1"/>
    <col min="14" max="14" width="18.33203125" style="59" customWidth="1"/>
    <col min="15" max="16" width="19.6640625" style="59" customWidth="1"/>
    <col min="17" max="19" width="16.83203125" style="59" bestFit="1" customWidth="1"/>
    <col min="20" max="20" width="15.6640625" style="59" customWidth="1"/>
    <col min="21" max="21" width="16.83203125" style="59" bestFit="1" customWidth="1"/>
    <col min="22" max="22" width="2.1640625" style="5" bestFit="1" customWidth="1"/>
    <col min="23" max="23" width="2.1640625" style="5" customWidth="1"/>
    <col min="24" max="24" width="10.1640625" style="177" customWidth="1"/>
    <col min="25" max="25" width="6.1640625" style="33" bestFit="1" customWidth="1"/>
    <col min="26" max="26" width="3.1640625" style="33" bestFit="1" customWidth="1"/>
    <col min="27" max="27" width="6.1640625" style="33" bestFit="1" customWidth="1"/>
    <col min="28" max="28" width="3.1640625" style="33" bestFit="1" customWidth="1"/>
    <col min="29" max="30" width="6.1640625" style="33" bestFit="1" customWidth="1"/>
    <col min="31" max="31" width="5.1640625" style="33" bestFit="1" customWidth="1"/>
    <col min="32" max="32" width="3.1640625" style="33" bestFit="1" customWidth="1"/>
    <col min="33" max="33" width="6.1640625" style="33" bestFit="1" customWidth="1"/>
    <col min="34" max="34" width="3.1640625" style="33" bestFit="1" customWidth="1"/>
    <col min="35" max="35" width="6.1640625" style="33" bestFit="1" customWidth="1"/>
    <col min="36" max="37" width="3.1640625" style="33" bestFit="1" customWidth="1"/>
    <col min="38" max="38" width="6.1640625" style="33" bestFit="1" customWidth="1"/>
    <col min="39" max="39" width="3.1640625" style="33" bestFit="1" customWidth="1"/>
    <col min="40" max="41" width="5.1640625" style="33" bestFit="1" customWidth="1"/>
    <col min="42" max="42" width="3.1640625" style="33" bestFit="1" customWidth="1"/>
    <col min="43" max="43" width="9.33203125" style="33"/>
    <col min="44" max="44" width="13" style="33" bestFit="1" customWidth="1"/>
    <col min="45" max="45" width="9.5" style="33" bestFit="1" customWidth="1"/>
    <col min="46" max="46" width="11.6640625" style="33" bestFit="1" customWidth="1"/>
    <col min="47" max="47" width="14" style="33" bestFit="1" customWidth="1"/>
    <col min="48" max="48" width="5.1640625" style="33" bestFit="1" customWidth="1"/>
    <col min="49" max="49" width="2.83203125" style="33" bestFit="1" customWidth="1"/>
    <col min="50" max="50" width="11.6640625" style="33" bestFit="1" customWidth="1"/>
    <col min="51" max="51" width="14" style="33" bestFit="1" customWidth="1"/>
    <col min="52" max="52" width="7.6640625" style="33" bestFit="1" customWidth="1"/>
    <col min="53" max="53" width="2.83203125" style="33" bestFit="1" customWidth="1"/>
    <col min="54" max="16384" width="9.33203125" style="33"/>
  </cols>
  <sheetData>
    <row r="1" spans="1:24" ht="63" customHeight="1">
      <c r="A1" s="236" t="s">
        <v>108</v>
      </c>
      <c r="B1" s="235">
        <f>B138</f>
        <v>0</v>
      </c>
      <c r="C1" s="392"/>
      <c r="D1" s="6" t="str">
        <f ca="1">"EE " &amp;" tsmede "&amp;TEXT(D44+D46+D47+D48+D49+D52+D53+D54+D55+D56+D57,"0.00%")</f>
        <v>EE  tsmede 31.28%</v>
      </c>
      <c r="E1" s="6" t="str">
        <f ca="1">"EE " &amp;"TN "&amp;TEXT(E44+E46+E47+E48+E49+E52+E53+E54+E55+E56+E57,"0.00%")</f>
        <v>EE TN 31.28%</v>
      </c>
      <c r="F1" s="6" t="str">
        <f>"EE" &amp;" oaee "&amp;TEXT(F44+F46+F47+F48+F49+F52+F53+F54+F55+F56+F57,"0.00%")</f>
        <v>EE oaee 20.28%</v>
      </c>
      <c r="G1" s="6" t="str">
        <f>"EE " &amp;" tsay "&amp;TEXT(G44+G46+G47+G48+G49+G52+G53+G54+G55+G56+G57,"0.00%")</f>
        <v>EE  tsay 24.28%</v>
      </c>
      <c r="H1" s="1" t="str">
        <f ca="1">"tsmede mplokaki/forologika misthotos/asfalistika EE aforologhto "&amp; TEXT(H117,"0") &amp;"   "&amp;TEXT(H44+H46+H47+H48+H49+H52+H53+H54+H55+H56+H57,"0.00%")</f>
        <v>tsmede mplokaki/forologika misthotos/asfalistika EE aforologhto 1250   31.28%</v>
      </c>
      <c r="I1" s="400" t="str">
        <f ca="1">"TN mplokaki/forologika misthotos/asfalistika EE aforologhto "&amp; TEXT(I117,"0") &amp;"   "&amp;TEXT(I44+I46+I47+I48+I49+I52+I53+I54+I55+I56+I57,"0.00%")</f>
        <v>TN mplokaki/forologika misthotos/asfalistika EE aforologhto 1250   31.28%</v>
      </c>
      <c r="J1" s="1" t="str">
        <f>"oaee mplokaki/forologika misthotos/asfalistika EE aforologhto "&amp; TEXT(J117,"0") &amp;"   "&amp;TEXT(J44+J46+J47+J48+J49+J52+J53+J54+J55+J56+J57,"0.00%")</f>
        <v>oaee mplokaki/forologika misthotos/asfalistika EE aforologhto 1250   20.28%</v>
      </c>
      <c r="K1" s="1" t="str">
        <f>"tsay mplokaki/forologika misthotos/asfalistika EE aforologhto "&amp; TEXT(K117,"0") &amp;"   "&amp;TEXT(K44+K46+K47+K48+K49+K52+K53+K54+K55+K56+K57,"0.00%")</f>
        <v>tsay mplokaki/forologika misthotos/asfalistika EE aforologhto 1250   24.28%</v>
      </c>
      <c r="L1" s="6" t="str">
        <f>"  " &amp;" oga aforologhto "&amp; TEXT(L117,"0") &amp;"   "&amp;TEXT(L44+L46+L47+L48+L49+L52+L53+L54+L55+L56+L57,"0.00%")</f>
        <v xml:space="preserve">   oga aforologhto 1250   20.28%</v>
      </c>
      <c r="M1" s="2" t="str">
        <f ca="1">"tsmede mplokaki/forologika misthotos/asfalistika misthotos aforologhto "&amp; TEXT(M117,"0") &amp;"   "&amp;TEXT(M44+M46+M47+M48+M49+M52+M53+M54+M55+M56+M57,"0.00%")</f>
        <v>tsmede mplokaki/forologika misthotos/asfalistika misthotos aforologhto 1250   38.10%</v>
      </c>
      <c r="N1" s="2" t="str">
        <f ca="1">"TN mplokaki/forologika misthotos/asfalistika misthotos aforologhto "&amp; TEXT(N117,"0") &amp;"   "&amp;TEXT(N44+N46+N47+N48+N49+N52+N53+N54+N55+N56+N57,"0.00%")</f>
        <v>TN mplokaki/forologika misthotos/asfalistika misthotos aforologhto 1250   38.10%</v>
      </c>
      <c r="O1" s="2" t="str">
        <f>"tsay mplokaki/forologika misthotos/asfalistika misthotos aforologhto "&amp; TEXT(O117,"0") &amp;"   "&amp;TEXT(O44+O46+O47+O48+O49+O52+O53+O54+O55+O56+O57,"0.00%")</f>
        <v>tsay mplokaki/forologika misthotos/asfalistika misthotos aforologhto 1250   31.10%</v>
      </c>
      <c r="P1" s="2" t="str">
        <f>"oaee mplokaki/forologika misthotos/asfalistika misthotos aforologhto "&amp; TEXT(P117,"0") &amp;"   "&amp;TEXT(P44+P46+P47+P48+P49+P52+P53+P54+P55+P56+P57,"0.00%")</f>
        <v>oaee mplokaki/forologika misthotos/asfalistika misthotos aforologhto 1250   27.10%</v>
      </c>
      <c r="Q1" s="3" t="str">
        <f ca="1">"tsmede Misthotos aforologhto "&amp; TEXT(Q117,"0") &amp;"   "&amp;TEXT(Q44+Q46+Q47+Q48+Q49+Q52+Q53+Q54+Q55+Q56+Q57,"0.00%")</f>
        <v>tsmede Misthotos aforologhto 1250   45.06%</v>
      </c>
      <c r="R1" s="3" t="str">
        <f ca="1">"tsay Misthotos aforologhto "&amp; TEXT(R117,"0") &amp;"   "&amp;TEXT(R44+R46+R47+R48+R49+R52+R53+R54+R55+R56+R57,"0.00%")</f>
        <v>tsay Misthotos aforologhto 1250   45.06%</v>
      </c>
      <c r="S1" s="3" t="str">
        <f>"ika Misthotos aforologhto "&amp; TEXT(S117,"0") &amp;"   "&amp;TEXT(S44+S46+S47+S48+S49+S52+S53+S54+S55+S56+S57,"0.00%")</f>
        <v>ika Misthotos aforologhto 1250   34.06%</v>
      </c>
      <c r="T1" s="401" t="str">
        <f>"dimosio Misthotos aforologhto "&amp; TEXT(T117,"0") &amp;"   "&amp;TEXT(T44+T46+T47+T48+T49+T52+T53+T54+T55+T56+T57,"0.00%")</f>
        <v>dimosio Misthotos aforologhto 1250   34.06%</v>
      </c>
      <c r="U1" s="3" t="str">
        <f ca="1">"oga Misthotos aforologhto "&amp; TEXT(U117,"0") &amp;"   "&amp;TEXT(U44+U46+U47+U48+U49+U52+U53+U54+U55+U56+U57,"0.00%")</f>
        <v>oga Misthotos aforologhto 1250   34.23%</v>
      </c>
      <c r="X1" s="368" t="s">
        <v>236</v>
      </c>
    </row>
    <row r="2" spans="1:24">
      <c r="A2" s="154" t="s">
        <v>0</v>
      </c>
      <c r="C2" s="112" t="s">
        <v>51</v>
      </c>
      <c r="D2" s="7">
        <v>0</v>
      </c>
      <c r="E2" s="7">
        <v>0</v>
      </c>
      <c r="F2" s="7">
        <v>0</v>
      </c>
      <c r="G2" s="7">
        <v>0</v>
      </c>
      <c r="H2" s="7">
        <v>0</v>
      </c>
      <c r="I2" s="7">
        <v>0</v>
      </c>
      <c r="J2" s="7">
        <v>0</v>
      </c>
      <c r="K2" s="7">
        <v>0</v>
      </c>
      <c r="L2" s="7">
        <v>0</v>
      </c>
      <c r="M2" s="7">
        <v>0</v>
      </c>
      <c r="N2" s="7">
        <v>0</v>
      </c>
      <c r="O2" s="7">
        <v>0</v>
      </c>
      <c r="P2" s="7">
        <v>0</v>
      </c>
      <c r="Q2" s="7">
        <v>0</v>
      </c>
      <c r="R2" s="7">
        <v>0</v>
      </c>
      <c r="S2" s="7">
        <v>0</v>
      </c>
      <c r="T2" s="7">
        <v>0</v>
      </c>
      <c r="U2" s="7">
        <v>0</v>
      </c>
    </row>
    <row r="3" spans="1:24">
      <c r="A3" s="155"/>
      <c r="C3" s="113" t="s">
        <v>51</v>
      </c>
      <c r="D3" s="9">
        <v>20000</v>
      </c>
      <c r="E3" s="9">
        <v>20000</v>
      </c>
      <c r="F3" s="9">
        <v>20000</v>
      </c>
      <c r="G3" s="9">
        <v>20000</v>
      </c>
      <c r="H3" s="9">
        <v>20000</v>
      </c>
      <c r="I3" s="9">
        <v>20000</v>
      </c>
      <c r="J3" s="9">
        <v>20000</v>
      </c>
      <c r="K3" s="9">
        <v>20000</v>
      </c>
      <c r="L3" s="9">
        <v>20000</v>
      </c>
      <c r="M3" s="9">
        <v>20000</v>
      </c>
      <c r="N3" s="9">
        <v>20000</v>
      </c>
      <c r="O3" s="9">
        <v>20000</v>
      </c>
      <c r="P3" s="9">
        <v>20000</v>
      </c>
      <c r="Q3" s="9">
        <v>20000</v>
      </c>
      <c r="R3" s="9">
        <v>20000</v>
      </c>
      <c r="S3" s="9">
        <v>20000</v>
      </c>
      <c r="T3" s="9">
        <v>20000</v>
      </c>
      <c r="U3" s="9">
        <v>20000</v>
      </c>
    </row>
    <row r="4" spans="1:24">
      <c r="A4" s="155"/>
      <c r="C4" s="113" t="s">
        <v>65</v>
      </c>
      <c r="D4" s="10">
        <v>0.22</v>
      </c>
      <c r="E4" s="10">
        <v>0.22</v>
      </c>
      <c r="F4" s="10">
        <v>0.22</v>
      </c>
      <c r="G4" s="10">
        <v>0.22</v>
      </c>
      <c r="H4" s="10">
        <v>0.22</v>
      </c>
      <c r="I4" s="10">
        <v>0.22</v>
      </c>
      <c r="J4" s="10">
        <v>0.22</v>
      </c>
      <c r="K4" s="10">
        <v>0.22</v>
      </c>
      <c r="L4" s="10">
        <v>0.22</v>
      </c>
      <c r="M4" s="10">
        <v>0.22</v>
      </c>
      <c r="N4" s="10">
        <v>0.22</v>
      </c>
      <c r="O4" s="10">
        <v>0.22</v>
      </c>
      <c r="P4" s="10">
        <v>0.22</v>
      </c>
      <c r="Q4" s="10">
        <v>0.22</v>
      </c>
      <c r="R4" s="10">
        <v>0.22</v>
      </c>
      <c r="S4" s="10">
        <v>0.22</v>
      </c>
      <c r="T4" s="10">
        <v>0.22</v>
      </c>
      <c r="U4" s="10">
        <v>0.22</v>
      </c>
    </row>
    <row r="5" spans="1:24">
      <c r="A5" s="155"/>
      <c r="C5" s="113" t="s">
        <v>51</v>
      </c>
      <c r="D5" s="7">
        <v>20000</v>
      </c>
      <c r="E5" s="7">
        <v>20000</v>
      </c>
      <c r="F5" s="7">
        <v>20000</v>
      </c>
      <c r="G5" s="7">
        <v>20000</v>
      </c>
      <c r="H5" s="7">
        <v>20000</v>
      </c>
      <c r="I5" s="7">
        <v>20000</v>
      </c>
      <c r="J5" s="7">
        <v>20000</v>
      </c>
      <c r="K5" s="7">
        <v>20000</v>
      </c>
      <c r="L5" s="7">
        <v>20000</v>
      </c>
      <c r="M5" s="7">
        <v>20000</v>
      </c>
      <c r="N5" s="7">
        <v>20000</v>
      </c>
      <c r="O5" s="7">
        <v>20000</v>
      </c>
      <c r="P5" s="7">
        <v>20000</v>
      </c>
      <c r="Q5" s="7">
        <v>20000</v>
      </c>
      <c r="R5" s="7">
        <v>20000</v>
      </c>
      <c r="S5" s="7">
        <v>20000</v>
      </c>
      <c r="T5" s="7">
        <v>20000</v>
      </c>
      <c r="U5" s="7">
        <v>20000</v>
      </c>
    </row>
    <row r="6" spans="1:24">
      <c r="A6" s="156"/>
      <c r="C6" s="113" t="s">
        <v>51</v>
      </c>
      <c r="D6" s="9">
        <v>30000</v>
      </c>
      <c r="E6" s="9">
        <v>30000</v>
      </c>
      <c r="F6" s="9">
        <v>30000</v>
      </c>
      <c r="G6" s="9">
        <v>30000</v>
      </c>
      <c r="H6" s="9">
        <v>30000</v>
      </c>
      <c r="I6" s="9">
        <v>30000</v>
      </c>
      <c r="J6" s="9">
        <v>30000</v>
      </c>
      <c r="K6" s="9">
        <v>30000</v>
      </c>
      <c r="L6" s="9">
        <v>30000</v>
      </c>
      <c r="M6" s="9">
        <v>30000</v>
      </c>
      <c r="N6" s="9">
        <v>30000</v>
      </c>
      <c r="O6" s="9">
        <v>30000</v>
      </c>
      <c r="P6" s="9">
        <v>30000</v>
      </c>
      <c r="Q6" s="9">
        <v>30000</v>
      </c>
      <c r="R6" s="9">
        <v>30000</v>
      </c>
      <c r="S6" s="9">
        <v>30000</v>
      </c>
      <c r="T6" s="9">
        <v>30000</v>
      </c>
      <c r="U6" s="9">
        <v>30000</v>
      </c>
    </row>
    <row r="7" spans="1:24">
      <c r="A7" s="155"/>
      <c r="C7" s="113" t="s">
        <v>65</v>
      </c>
      <c r="D7" s="10">
        <v>0.28999999999999998</v>
      </c>
      <c r="E7" s="10">
        <v>0.28999999999999998</v>
      </c>
      <c r="F7" s="10">
        <v>0.28999999999999998</v>
      </c>
      <c r="G7" s="10">
        <v>0.28999999999999998</v>
      </c>
      <c r="H7" s="10">
        <v>0.28999999999999998</v>
      </c>
      <c r="I7" s="10">
        <v>0.28999999999999998</v>
      </c>
      <c r="J7" s="10">
        <v>0.28999999999999998</v>
      </c>
      <c r="K7" s="10">
        <v>0.28999999999999998</v>
      </c>
      <c r="L7" s="10">
        <v>0.28999999999999998</v>
      </c>
      <c r="M7" s="10">
        <v>0.28999999999999998</v>
      </c>
      <c r="N7" s="10">
        <v>0.28999999999999998</v>
      </c>
      <c r="O7" s="10">
        <v>0.28999999999999998</v>
      </c>
      <c r="P7" s="10">
        <v>0.28999999999999998</v>
      </c>
      <c r="Q7" s="10">
        <v>0.28999999999999998</v>
      </c>
      <c r="R7" s="10">
        <v>0.28999999999999998</v>
      </c>
      <c r="S7" s="10">
        <v>0.28999999999999998</v>
      </c>
      <c r="T7" s="10">
        <v>0.28999999999999998</v>
      </c>
      <c r="U7" s="10">
        <v>0.28999999999999998</v>
      </c>
    </row>
    <row r="8" spans="1:24">
      <c r="A8" s="155"/>
      <c r="C8" s="113" t="s">
        <v>51</v>
      </c>
      <c r="D8" s="7">
        <v>30000</v>
      </c>
      <c r="E8" s="7">
        <v>30000</v>
      </c>
      <c r="F8" s="7">
        <v>30000</v>
      </c>
      <c r="G8" s="7">
        <v>30000</v>
      </c>
      <c r="H8" s="7">
        <v>30000</v>
      </c>
      <c r="I8" s="7">
        <v>30000</v>
      </c>
      <c r="J8" s="7">
        <v>30000</v>
      </c>
      <c r="K8" s="7">
        <v>30000</v>
      </c>
      <c r="L8" s="7">
        <v>30000</v>
      </c>
      <c r="M8" s="7">
        <v>30000</v>
      </c>
      <c r="N8" s="7">
        <v>30000</v>
      </c>
      <c r="O8" s="7">
        <v>30000</v>
      </c>
      <c r="P8" s="7">
        <v>30000</v>
      </c>
      <c r="Q8" s="7">
        <v>30000</v>
      </c>
      <c r="R8" s="7">
        <v>30000</v>
      </c>
      <c r="S8" s="7">
        <v>30000</v>
      </c>
      <c r="T8" s="7">
        <v>30000</v>
      </c>
      <c r="U8" s="7">
        <v>30000</v>
      </c>
    </row>
    <row r="9" spans="1:24">
      <c r="A9" s="155"/>
      <c r="C9" s="113" t="s">
        <v>51</v>
      </c>
      <c r="D9" s="9">
        <v>40000</v>
      </c>
      <c r="E9" s="9">
        <v>40000</v>
      </c>
      <c r="F9" s="9">
        <v>40000</v>
      </c>
      <c r="G9" s="9">
        <v>40000</v>
      </c>
      <c r="H9" s="9">
        <v>40000</v>
      </c>
      <c r="I9" s="9">
        <v>40000</v>
      </c>
      <c r="J9" s="9">
        <v>40000</v>
      </c>
      <c r="K9" s="9">
        <v>40000</v>
      </c>
      <c r="L9" s="9">
        <v>40000</v>
      </c>
      <c r="M9" s="9">
        <v>40000</v>
      </c>
      <c r="N9" s="9">
        <v>40000</v>
      </c>
      <c r="O9" s="9">
        <v>40000</v>
      </c>
      <c r="P9" s="9">
        <v>40000</v>
      </c>
      <c r="Q9" s="9">
        <v>40000</v>
      </c>
      <c r="R9" s="9">
        <v>40000</v>
      </c>
      <c r="S9" s="9">
        <v>40000</v>
      </c>
      <c r="T9" s="9">
        <v>40000</v>
      </c>
      <c r="U9" s="9">
        <v>40000</v>
      </c>
    </row>
    <row r="10" spans="1:24">
      <c r="A10" s="155"/>
      <c r="C10" s="113" t="s">
        <v>65</v>
      </c>
      <c r="D10" s="10">
        <v>0.37</v>
      </c>
      <c r="E10" s="10">
        <v>0.37</v>
      </c>
      <c r="F10" s="10">
        <v>0.37</v>
      </c>
      <c r="G10" s="10">
        <v>0.37</v>
      </c>
      <c r="H10" s="10">
        <v>0.37</v>
      </c>
      <c r="I10" s="10">
        <v>0.37</v>
      </c>
      <c r="J10" s="10">
        <v>0.37</v>
      </c>
      <c r="K10" s="10">
        <v>0.37</v>
      </c>
      <c r="L10" s="10">
        <v>0.37</v>
      </c>
      <c r="M10" s="10">
        <v>0.37</v>
      </c>
      <c r="N10" s="10">
        <v>0.37</v>
      </c>
      <c r="O10" s="10">
        <v>0.37</v>
      </c>
      <c r="P10" s="10">
        <v>0.37</v>
      </c>
      <c r="Q10" s="10">
        <v>0.37</v>
      </c>
      <c r="R10" s="10">
        <v>0.37</v>
      </c>
      <c r="S10" s="10">
        <v>0.37</v>
      </c>
      <c r="T10" s="10">
        <v>0.37</v>
      </c>
      <c r="U10" s="10">
        <v>0.37</v>
      </c>
    </row>
    <row r="11" spans="1:24">
      <c r="A11" s="155"/>
      <c r="C11" s="113" t="s">
        <v>51</v>
      </c>
      <c r="D11" s="7">
        <v>40000</v>
      </c>
      <c r="E11" s="7">
        <v>40000</v>
      </c>
      <c r="F11" s="7">
        <v>40000</v>
      </c>
      <c r="G11" s="7">
        <v>40000</v>
      </c>
      <c r="H11" s="7">
        <v>40000</v>
      </c>
      <c r="I11" s="7">
        <v>40000</v>
      </c>
      <c r="J11" s="7">
        <v>40000</v>
      </c>
      <c r="K11" s="7">
        <v>40000</v>
      </c>
      <c r="L11" s="7">
        <v>40000</v>
      </c>
      <c r="M11" s="7">
        <v>40000</v>
      </c>
      <c r="N11" s="7">
        <v>40000</v>
      </c>
      <c r="O11" s="7">
        <v>40000</v>
      </c>
      <c r="P11" s="7">
        <v>40000</v>
      </c>
      <c r="Q11" s="7">
        <v>40000</v>
      </c>
      <c r="R11" s="7">
        <v>40000</v>
      </c>
      <c r="S11" s="7">
        <v>40000</v>
      </c>
      <c r="T11" s="7">
        <v>40000</v>
      </c>
      <c r="U11" s="7">
        <v>40000</v>
      </c>
    </row>
    <row r="12" spans="1:24">
      <c r="A12" s="155"/>
      <c r="C12" s="113" t="s">
        <v>51</v>
      </c>
      <c r="D12" s="9">
        <v>50000</v>
      </c>
      <c r="E12" s="9">
        <v>50000</v>
      </c>
      <c r="F12" s="9">
        <v>50000</v>
      </c>
      <c r="G12" s="9">
        <v>50000</v>
      </c>
      <c r="H12" s="9">
        <v>50000</v>
      </c>
      <c r="I12" s="9">
        <v>50000</v>
      </c>
      <c r="J12" s="9">
        <v>50000</v>
      </c>
      <c r="K12" s="9">
        <v>50000</v>
      </c>
      <c r="L12" s="9">
        <v>50000</v>
      </c>
      <c r="M12" s="9">
        <v>50000</v>
      </c>
      <c r="N12" s="9">
        <v>50000</v>
      </c>
      <c r="O12" s="9">
        <v>50000</v>
      </c>
      <c r="P12" s="9">
        <v>50000</v>
      </c>
      <c r="Q12" s="9">
        <v>50000</v>
      </c>
      <c r="R12" s="9">
        <v>50000</v>
      </c>
      <c r="S12" s="9">
        <v>50000</v>
      </c>
      <c r="T12" s="9">
        <v>50000</v>
      </c>
      <c r="U12" s="9">
        <v>50000</v>
      </c>
    </row>
    <row r="13" spans="1:24">
      <c r="A13" s="155"/>
      <c r="C13" s="113" t="s">
        <v>65</v>
      </c>
      <c r="D13" s="10">
        <v>0.45</v>
      </c>
      <c r="E13" s="10">
        <v>0.45</v>
      </c>
      <c r="F13" s="10">
        <v>0.45</v>
      </c>
      <c r="G13" s="10">
        <v>0.45</v>
      </c>
      <c r="H13" s="10">
        <v>0.45</v>
      </c>
      <c r="I13" s="10">
        <v>0.45</v>
      </c>
      <c r="J13" s="10">
        <v>0.45</v>
      </c>
      <c r="K13" s="10">
        <v>0.45</v>
      </c>
      <c r="L13" s="10">
        <v>0.45</v>
      </c>
      <c r="M13" s="10">
        <v>0.45</v>
      </c>
      <c r="N13" s="10">
        <v>0.45</v>
      </c>
      <c r="O13" s="10">
        <v>0.45</v>
      </c>
      <c r="P13" s="10">
        <v>0.45</v>
      </c>
      <c r="Q13" s="10">
        <v>0.45</v>
      </c>
      <c r="R13" s="10">
        <v>0.45</v>
      </c>
      <c r="S13" s="10">
        <v>0.45</v>
      </c>
      <c r="T13" s="10">
        <v>0.45</v>
      </c>
      <c r="U13" s="10">
        <v>0.45</v>
      </c>
    </row>
    <row r="14" spans="1:24">
      <c r="A14" s="155"/>
      <c r="C14" s="113" t="s">
        <v>51</v>
      </c>
      <c r="D14" s="7">
        <v>50000</v>
      </c>
      <c r="E14" s="7">
        <v>50000</v>
      </c>
      <c r="F14" s="7">
        <v>50000</v>
      </c>
      <c r="G14" s="7">
        <v>50000</v>
      </c>
      <c r="H14" s="7">
        <v>50000</v>
      </c>
      <c r="I14" s="7">
        <v>50000</v>
      </c>
      <c r="J14" s="7">
        <v>50000</v>
      </c>
      <c r="K14" s="7">
        <v>50000</v>
      </c>
      <c r="L14" s="7">
        <v>50000</v>
      </c>
      <c r="M14" s="7">
        <v>50000</v>
      </c>
      <c r="N14" s="7">
        <v>50000</v>
      </c>
      <c r="O14" s="7">
        <v>50000</v>
      </c>
      <c r="P14" s="7">
        <v>50000</v>
      </c>
      <c r="Q14" s="7">
        <v>50000</v>
      </c>
      <c r="R14" s="7">
        <v>50000</v>
      </c>
      <c r="S14" s="7">
        <v>50000</v>
      </c>
      <c r="T14" s="7">
        <v>50000</v>
      </c>
      <c r="U14" s="7">
        <v>50000</v>
      </c>
    </row>
    <row r="15" spans="1:24">
      <c r="A15" s="155"/>
      <c r="C15" s="113" t="s">
        <v>51</v>
      </c>
      <c r="D15" s="9">
        <v>60000</v>
      </c>
      <c r="E15" s="9">
        <v>60000</v>
      </c>
      <c r="F15" s="9">
        <v>60000</v>
      </c>
      <c r="G15" s="9">
        <v>60000</v>
      </c>
      <c r="H15" s="9">
        <v>60000</v>
      </c>
      <c r="I15" s="9">
        <v>60000</v>
      </c>
      <c r="J15" s="9">
        <v>60000</v>
      </c>
      <c r="K15" s="9">
        <v>60000</v>
      </c>
      <c r="L15" s="9">
        <v>60000</v>
      </c>
      <c r="M15" s="9">
        <v>60000</v>
      </c>
      <c r="N15" s="9">
        <v>60000</v>
      </c>
      <c r="O15" s="9">
        <v>60000</v>
      </c>
      <c r="P15" s="9">
        <v>60000</v>
      </c>
      <c r="Q15" s="9">
        <v>60000</v>
      </c>
      <c r="R15" s="9">
        <v>60000</v>
      </c>
      <c r="S15" s="9">
        <v>60000</v>
      </c>
      <c r="T15" s="9">
        <v>60000</v>
      </c>
      <c r="U15" s="9">
        <v>60000</v>
      </c>
    </row>
    <row r="16" spans="1:24">
      <c r="A16" s="155"/>
      <c r="C16" s="113" t="s">
        <v>65</v>
      </c>
      <c r="D16" s="10">
        <v>0.45</v>
      </c>
      <c r="E16" s="10">
        <v>0.45</v>
      </c>
      <c r="F16" s="10">
        <v>0.45</v>
      </c>
      <c r="G16" s="10">
        <v>0.45</v>
      </c>
      <c r="H16" s="10">
        <v>0.45</v>
      </c>
      <c r="I16" s="10">
        <v>0.45</v>
      </c>
      <c r="J16" s="10">
        <v>0.45</v>
      </c>
      <c r="K16" s="10">
        <v>0.45</v>
      </c>
      <c r="L16" s="10">
        <v>0.45</v>
      </c>
      <c r="M16" s="10">
        <v>0.45</v>
      </c>
      <c r="N16" s="10">
        <v>0.45</v>
      </c>
      <c r="O16" s="10">
        <v>0.45</v>
      </c>
      <c r="P16" s="10">
        <v>0.45</v>
      </c>
      <c r="Q16" s="10">
        <v>0.45</v>
      </c>
      <c r="R16" s="10">
        <v>0.45</v>
      </c>
      <c r="S16" s="10">
        <v>0.45</v>
      </c>
      <c r="T16" s="10">
        <v>0.45</v>
      </c>
      <c r="U16" s="10">
        <v>0.45</v>
      </c>
    </row>
    <row r="17" spans="1:21">
      <c r="A17" s="155"/>
      <c r="C17" s="113" t="s">
        <v>51</v>
      </c>
      <c r="D17" s="7">
        <v>60000</v>
      </c>
      <c r="E17" s="7">
        <v>60000</v>
      </c>
      <c r="F17" s="7">
        <v>60000</v>
      </c>
      <c r="G17" s="7">
        <v>60000</v>
      </c>
      <c r="H17" s="7">
        <v>60000</v>
      </c>
      <c r="I17" s="7">
        <v>60000</v>
      </c>
      <c r="J17" s="7">
        <v>60000</v>
      </c>
      <c r="K17" s="7">
        <v>60000</v>
      </c>
      <c r="L17" s="7">
        <v>60000</v>
      </c>
      <c r="M17" s="7">
        <v>60000</v>
      </c>
      <c r="N17" s="7">
        <v>60000</v>
      </c>
      <c r="O17" s="7">
        <v>60000</v>
      </c>
      <c r="P17" s="7">
        <v>60000</v>
      </c>
      <c r="Q17" s="7">
        <v>60000</v>
      </c>
      <c r="R17" s="7">
        <v>60000</v>
      </c>
      <c r="S17" s="7">
        <v>60000</v>
      </c>
      <c r="T17" s="7">
        <v>60000</v>
      </c>
      <c r="U17" s="7">
        <v>60000</v>
      </c>
    </row>
    <row r="18" spans="1:21">
      <c r="A18" s="155"/>
      <c r="C18" s="113" t="s">
        <v>51</v>
      </c>
      <c r="D18" s="9">
        <v>70000</v>
      </c>
      <c r="E18" s="9">
        <v>70000</v>
      </c>
      <c r="F18" s="9">
        <v>70000</v>
      </c>
      <c r="G18" s="9">
        <v>70000</v>
      </c>
      <c r="H18" s="9">
        <v>70000</v>
      </c>
      <c r="I18" s="9">
        <v>70000</v>
      </c>
      <c r="J18" s="9">
        <v>70000</v>
      </c>
      <c r="K18" s="9">
        <v>70000</v>
      </c>
      <c r="L18" s="9">
        <v>70000</v>
      </c>
      <c r="M18" s="9">
        <v>70000</v>
      </c>
      <c r="N18" s="9">
        <v>70000</v>
      </c>
      <c r="O18" s="9">
        <v>70000</v>
      </c>
      <c r="P18" s="9">
        <v>70000</v>
      </c>
      <c r="Q18" s="9">
        <v>70000</v>
      </c>
      <c r="R18" s="9">
        <v>70000</v>
      </c>
      <c r="S18" s="9">
        <v>70000</v>
      </c>
      <c r="T18" s="9">
        <v>70000</v>
      </c>
      <c r="U18" s="9">
        <v>70000</v>
      </c>
    </row>
    <row r="19" spans="1:21">
      <c r="A19" s="155"/>
      <c r="C19" s="113" t="s">
        <v>65</v>
      </c>
      <c r="D19" s="10">
        <v>0.45</v>
      </c>
      <c r="E19" s="10">
        <v>0.45</v>
      </c>
      <c r="F19" s="10">
        <v>0.45</v>
      </c>
      <c r="G19" s="10">
        <v>0.45</v>
      </c>
      <c r="H19" s="10">
        <v>0.45</v>
      </c>
      <c r="I19" s="10">
        <v>0.45</v>
      </c>
      <c r="J19" s="10">
        <v>0.45</v>
      </c>
      <c r="K19" s="10">
        <v>0.45</v>
      </c>
      <c r="L19" s="10">
        <v>0.45</v>
      </c>
      <c r="M19" s="10">
        <v>0.45</v>
      </c>
      <c r="N19" s="10">
        <v>0.45</v>
      </c>
      <c r="O19" s="10">
        <v>0.45</v>
      </c>
      <c r="P19" s="10">
        <v>0.45</v>
      </c>
      <c r="Q19" s="10">
        <v>0.45</v>
      </c>
      <c r="R19" s="10">
        <v>0.45</v>
      </c>
      <c r="S19" s="10">
        <v>0.45</v>
      </c>
      <c r="T19" s="10">
        <v>0.45</v>
      </c>
      <c r="U19" s="10">
        <v>0.45</v>
      </c>
    </row>
    <row r="20" spans="1:21">
      <c r="A20" s="155"/>
      <c r="C20" s="113" t="s">
        <v>51</v>
      </c>
      <c r="D20" s="7">
        <v>70000</v>
      </c>
      <c r="E20" s="7">
        <v>70000</v>
      </c>
      <c r="F20" s="7">
        <v>70000</v>
      </c>
      <c r="G20" s="7">
        <v>70000</v>
      </c>
      <c r="H20" s="7">
        <v>70000</v>
      </c>
      <c r="I20" s="7">
        <v>70000</v>
      </c>
      <c r="J20" s="7">
        <v>70000</v>
      </c>
      <c r="K20" s="7">
        <v>70000</v>
      </c>
      <c r="L20" s="7">
        <v>70000</v>
      </c>
      <c r="M20" s="7">
        <v>70000</v>
      </c>
      <c r="N20" s="7">
        <v>70000</v>
      </c>
      <c r="O20" s="7">
        <v>70000</v>
      </c>
      <c r="P20" s="7">
        <v>70000</v>
      </c>
      <c r="Q20" s="7">
        <v>70000</v>
      </c>
      <c r="R20" s="7">
        <v>70000</v>
      </c>
      <c r="S20" s="7">
        <v>70000</v>
      </c>
      <c r="T20" s="7">
        <v>70000</v>
      </c>
      <c r="U20" s="7">
        <v>70000</v>
      </c>
    </row>
    <row r="21" spans="1:21">
      <c r="A21" s="155"/>
      <c r="C21" s="113" t="s">
        <v>51</v>
      </c>
      <c r="D21" s="9">
        <v>9999999</v>
      </c>
      <c r="E21" s="9">
        <v>9999999</v>
      </c>
      <c r="F21" s="9">
        <v>9999999</v>
      </c>
      <c r="G21" s="9">
        <v>9999999</v>
      </c>
      <c r="H21" s="9">
        <v>9999999</v>
      </c>
      <c r="I21" s="9">
        <v>9999999</v>
      </c>
      <c r="J21" s="9">
        <v>9999999</v>
      </c>
      <c r="K21" s="9">
        <v>9999999</v>
      </c>
      <c r="L21" s="9">
        <v>9999999</v>
      </c>
      <c r="M21" s="9">
        <v>9999999</v>
      </c>
      <c r="N21" s="9">
        <v>9999999</v>
      </c>
      <c r="O21" s="9">
        <v>9999999</v>
      </c>
      <c r="P21" s="9">
        <v>9999999</v>
      </c>
      <c r="Q21" s="9">
        <v>9999999</v>
      </c>
      <c r="R21" s="9">
        <v>9999999</v>
      </c>
      <c r="S21" s="9">
        <v>9999999</v>
      </c>
      <c r="T21" s="9">
        <v>9999999</v>
      </c>
      <c r="U21" s="9">
        <v>9999999</v>
      </c>
    </row>
    <row r="22" spans="1:21" ht="12.75" thickBot="1">
      <c r="A22" s="157"/>
      <c r="C22" s="169" t="s">
        <v>65</v>
      </c>
      <c r="D22" s="11">
        <f>45%</f>
        <v>0.45</v>
      </c>
      <c r="E22" s="11">
        <f>45%</f>
        <v>0.45</v>
      </c>
      <c r="F22" s="11">
        <f>45%</f>
        <v>0.45</v>
      </c>
      <c r="G22" s="11">
        <f>45%</f>
        <v>0.45</v>
      </c>
      <c r="H22" s="11">
        <f>45%</f>
        <v>0.45</v>
      </c>
      <c r="I22" s="11">
        <f>45%</f>
        <v>0.45</v>
      </c>
      <c r="J22" s="11">
        <f>45%</f>
        <v>0.45</v>
      </c>
      <c r="K22" s="11">
        <f>45%</f>
        <v>0.45</v>
      </c>
      <c r="L22" s="11">
        <f>45%</f>
        <v>0.45</v>
      </c>
      <c r="M22" s="11">
        <f>45%</f>
        <v>0.45</v>
      </c>
      <c r="N22" s="11">
        <f>45%</f>
        <v>0.45</v>
      </c>
      <c r="O22" s="11">
        <f>45%</f>
        <v>0.45</v>
      </c>
      <c r="P22" s="11">
        <f>45%</f>
        <v>0.45</v>
      </c>
      <c r="Q22" s="11">
        <f>45%</f>
        <v>0.45</v>
      </c>
      <c r="R22" s="11">
        <f>45%</f>
        <v>0.45</v>
      </c>
      <c r="S22" s="11">
        <f>45%</f>
        <v>0.45</v>
      </c>
      <c r="T22" s="11">
        <f>45%</f>
        <v>0.45</v>
      </c>
      <c r="U22" s="11">
        <f>45%</f>
        <v>0.45</v>
      </c>
    </row>
    <row r="23" spans="1:21" ht="12.75" thickTop="1">
      <c r="A23" s="158" t="s">
        <v>25</v>
      </c>
      <c r="C23" s="112" t="s">
        <v>51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</row>
    <row r="24" spans="1:21">
      <c r="A24" s="155"/>
      <c r="C24" s="113" t="s">
        <v>51</v>
      </c>
      <c r="D24" s="9">
        <v>12000</v>
      </c>
      <c r="E24" s="9">
        <v>12000</v>
      </c>
      <c r="F24" s="9">
        <v>12000</v>
      </c>
      <c r="G24" s="9">
        <v>12000</v>
      </c>
      <c r="H24" s="9">
        <v>12000</v>
      </c>
      <c r="I24" s="9">
        <v>12000</v>
      </c>
      <c r="J24" s="9">
        <v>12000</v>
      </c>
      <c r="K24" s="9">
        <v>12000</v>
      </c>
      <c r="L24" s="9">
        <v>12000</v>
      </c>
      <c r="M24" s="9">
        <v>12000</v>
      </c>
      <c r="N24" s="9">
        <v>12000</v>
      </c>
      <c r="O24" s="9">
        <v>12000</v>
      </c>
      <c r="P24" s="9">
        <v>12000</v>
      </c>
      <c r="Q24" s="9">
        <v>12000</v>
      </c>
      <c r="R24" s="9">
        <v>12000</v>
      </c>
      <c r="S24" s="9">
        <v>12000</v>
      </c>
      <c r="T24" s="9">
        <v>12000</v>
      </c>
      <c r="U24" s="9">
        <v>12000</v>
      </c>
    </row>
    <row r="25" spans="1:21">
      <c r="A25" s="155"/>
      <c r="C25" s="113" t="s">
        <v>65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</row>
    <row r="26" spans="1:21">
      <c r="A26" s="155"/>
      <c r="C26" s="113" t="s">
        <v>51</v>
      </c>
      <c r="D26" s="7">
        <v>12000</v>
      </c>
      <c r="E26" s="7">
        <v>12000</v>
      </c>
      <c r="F26" s="7">
        <v>12000</v>
      </c>
      <c r="G26" s="7">
        <v>12000</v>
      </c>
      <c r="H26" s="7">
        <v>12000</v>
      </c>
      <c r="I26" s="7">
        <v>12000</v>
      </c>
      <c r="J26" s="7">
        <v>12000</v>
      </c>
      <c r="K26" s="7">
        <v>12000</v>
      </c>
      <c r="L26" s="7">
        <v>12000</v>
      </c>
      <c r="M26" s="7">
        <v>12000</v>
      </c>
      <c r="N26" s="7">
        <v>12000</v>
      </c>
      <c r="O26" s="7">
        <v>12000</v>
      </c>
      <c r="P26" s="7">
        <v>12000</v>
      </c>
      <c r="Q26" s="7">
        <v>12000</v>
      </c>
      <c r="R26" s="7">
        <v>12000</v>
      </c>
      <c r="S26" s="7">
        <v>12000</v>
      </c>
      <c r="T26" s="7">
        <v>12000</v>
      </c>
      <c r="U26" s="7">
        <v>12000</v>
      </c>
    </row>
    <row r="27" spans="1:21">
      <c r="A27" s="155"/>
      <c r="C27" s="113" t="s">
        <v>51</v>
      </c>
      <c r="D27" s="9">
        <v>20000</v>
      </c>
      <c r="E27" s="9">
        <v>20000</v>
      </c>
      <c r="F27" s="9">
        <v>20000</v>
      </c>
      <c r="G27" s="9">
        <v>20000</v>
      </c>
      <c r="H27" s="9">
        <v>20000</v>
      </c>
      <c r="I27" s="9">
        <v>20000</v>
      </c>
      <c r="J27" s="9">
        <v>20000</v>
      </c>
      <c r="K27" s="9">
        <v>20000</v>
      </c>
      <c r="L27" s="9">
        <v>20000</v>
      </c>
      <c r="M27" s="9">
        <v>20000</v>
      </c>
      <c r="N27" s="9">
        <v>20000</v>
      </c>
      <c r="O27" s="9">
        <v>20000</v>
      </c>
      <c r="P27" s="9">
        <v>20000</v>
      </c>
      <c r="Q27" s="9">
        <v>20000</v>
      </c>
      <c r="R27" s="9">
        <v>20000</v>
      </c>
      <c r="S27" s="9">
        <v>20000</v>
      </c>
      <c r="T27" s="9">
        <v>20000</v>
      </c>
      <c r="U27" s="9">
        <v>20000</v>
      </c>
    </row>
    <row r="28" spans="1:21">
      <c r="A28" s="155"/>
      <c r="C28" s="113" t="s">
        <v>65</v>
      </c>
      <c r="D28" s="10">
        <f t="shared" ref="D28:U28" si="0">2.2%</f>
        <v>2.2000000000000002E-2</v>
      </c>
      <c r="E28" s="10">
        <f t="shared" si="0"/>
        <v>2.2000000000000002E-2</v>
      </c>
      <c r="F28" s="10">
        <f t="shared" si="0"/>
        <v>2.2000000000000002E-2</v>
      </c>
      <c r="G28" s="10">
        <f t="shared" si="0"/>
        <v>2.2000000000000002E-2</v>
      </c>
      <c r="H28" s="10">
        <f t="shared" si="0"/>
        <v>2.2000000000000002E-2</v>
      </c>
      <c r="I28" s="10">
        <f t="shared" si="0"/>
        <v>2.2000000000000002E-2</v>
      </c>
      <c r="J28" s="10">
        <f t="shared" si="0"/>
        <v>2.2000000000000002E-2</v>
      </c>
      <c r="K28" s="10">
        <f t="shared" si="0"/>
        <v>2.2000000000000002E-2</v>
      </c>
      <c r="L28" s="10">
        <f t="shared" si="0"/>
        <v>2.2000000000000002E-2</v>
      </c>
      <c r="M28" s="10">
        <f t="shared" si="0"/>
        <v>2.2000000000000002E-2</v>
      </c>
      <c r="N28" s="10">
        <f t="shared" si="0"/>
        <v>2.2000000000000002E-2</v>
      </c>
      <c r="O28" s="10">
        <f t="shared" si="0"/>
        <v>2.2000000000000002E-2</v>
      </c>
      <c r="P28" s="10">
        <f t="shared" si="0"/>
        <v>2.2000000000000002E-2</v>
      </c>
      <c r="Q28" s="10">
        <f t="shared" si="0"/>
        <v>2.2000000000000002E-2</v>
      </c>
      <c r="R28" s="10">
        <f t="shared" si="0"/>
        <v>2.2000000000000002E-2</v>
      </c>
      <c r="S28" s="10">
        <f t="shared" si="0"/>
        <v>2.2000000000000002E-2</v>
      </c>
      <c r="T28" s="10">
        <f t="shared" si="0"/>
        <v>2.2000000000000002E-2</v>
      </c>
      <c r="U28" s="10">
        <f t="shared" si="0"/>
        <v>2.2000000000000002E-2</v>
      </c>
    </row>
    <row r="29" spans="1:21">
      <c r="A29" s="155"/>
      <c r="C29" s="113" t="s">
        <v>51</v>
      </c>
      <c r="D29" s="7">
        <v>20000</v>
      </c>
      <c r="E29" s="7">
        <v>20000</v>
      </c>
      <c r="F29" s="7">
        <v>20000</v>
      </c>
      <c r="G29" s="7">
        <v>20000</v>
      </c>
      <c r="H29" s="7">
        <v>20000</v>
      </c>
      <c r="I29" s="7">
        <v>20000</v>
      </c>
      <c r="J29" s="7">
        <v>20000</v>
      </c>
      <c r="K29" s="7">
        <v>20000</v>
      </c>
      <c r="L29" s="7">
        <v>20000</v>
      </c>
      <c r="M29" s="7">
        <v>20000</v>
      </c>
      <c r="N29" s="7">
        <v>20000</v>
      </c>
      <c r="O29" s="7">
        <v>20000</v>
      </c>
      <c r="P29" s="7">
        <v>20000</v>
      </c>
      <c r="Q29" s="7">
        <v>20000</v>
      </c>
      <c r="R29" s="7">
        <v>20000</v>
      </c>
      <c r="S29" s="7">
        <v>20000</v>
      </c>
      <c r="T29" s="7">
        <v>20000</v>
      </c>
      <c r="U29" s="7">
        <v>20000</v>
      </c>
    </row>
    <row r="30" spans="1:21">
      <c r="A30" s="155"/>
      <c r="C30" s="113" t="s">
        <v>51</v>
      </c>
      <c r="D30" s="9">
        <v>30000</v>
      </c>
      <c r="E30" s="9">
        <v>30000</v>
      </c>
      <c r="F30" s="9">
        <v>30000</v>
      </c>
      <c r="G30" s="9">
        <v>30000</v>
      </c>
      <c r="H30" s="9">
        <v>30000</v>
      </c>
      <c r="I30" s="9">
        <v>30000</v>
      </c>
      <c r="J30" s="9">
        <v>30000</v>
      </c>
      <c r="K30" s="9">
        <v>30000</v>
      </c>
      <c r="L30" s="9">
        <v>30000</v>
      </c>
      <c r="M30" s="9">
        <v>30000</v>
      </c>
      <c r="N30" s="9">
        <v>30000</v>
      </c>
      <c r="O30" s="9">
        <v>30000</v>
      </c>
      <c r="P30" s="9">
        <v>30000</v>
      </c>
      <c r="Q30" s="9">
        <v>30000</v>
      </c>
      <c r="R30" s="9">
        <v>30000</v>
      </c>
      <c r="S30" s="9">
        <v>30000</v>
      </c>
      <c r="T30" s="9">
        <v>30000</v>
      </c>
      <c r="U30" s="9">
        <v>30000</v>
      </c>
    </row>
    <row r="31" spans="1:21">
      <c r="A31" s="155"/>
      <c r="C31" s="113" t="s">
        <v>65</v>
      </c>
      <c r="D31" s="10">
        <v>0.05</v>
      </c>
      <c r="E31" s="10">
        <v>0.05</v>
      </c>
      <c r="F31" s="10">
        <v>0.05</v>
      </c>
      <c r="G31" s="10">
        <v>0.05</v>
      </c>
      <c r="H31" s="10">
        <v>0.05</v>
      </c>
      <c r="I31" s="10">
        <v>0.05</v>
      </c>
      <c r="J31" s="10">
        <v>0.05</v>
      </c>
      <c r="K31" s="10">
        <v>0.05</v>
      </c>
      <c r="L31" s="10">
        <v>0.05</v>
      </c>
      <c r="M31" s="10">
        <v>0.05</v>
      </c>
      <c r="N31" s="10">
        <v>0.05</v>
      </c>
      <c r="O31" s="10">
        <v>0.05</v>
      </c>
      <c r="P31" s="10">
        <v>0.05</v>
      </c>
      <c r="Q31" s="10">
        <v>0.05</v>
      </c>
      <c r="R31" s="10">
        <v>0.05</v>
      </c>
      <c r="S31" s="10">
        <v>0.05</v>
      </c>
      <c r="T31" s="10">
        <v>0.05</v>
      </c>
      <c r="U31" s="10">
        <v>0.05</v>
      </c>
    </row>
    <row r="32" spans="1:21">
      <c r="A32" s="155"/>
      <c r="C32" s="113" t="s">
        <v>51</v>
      </c>
      <c r="D32" s="7">
        <v>30000</v>
      </c>
      <c r="E32" s="7">
        <v>30000</v>
      </c>
      <c r="F32" s="7">
        <v>30000</v>
      </c>
      <c r="G32" s="7">
        <v>30000</v>
      </c>
      <c r="H32" s="7">
        <v>30000</v>
      </c>
      <c r="I32" s="7">
        <v>30000</v>
      </c>
      <c r="J32" s="7">
        <v>30000</v>
      </c>
      <c r="K32" s="7">
        <v>30000</v>
      </c>
      <c r="L32" s="7">
        <v>30000</v>
      </c>
      <c r="M32" s="7">
        <v>30000</v>
      </c>
      <c r="N32" s="7">
        <v>30000</v>
      </c>
      <c r="O32" s="7">
        <v>30000</v>
      </c>
      <c r="P32" s="7">
        <v>30000</v>
      </c>
      <c r="Q32" s="7">
        <v>30000</v>
      </c>
      <c r="R32" s="7">
        <v>30000</v>
      </c>
      <c r="S32" s="7">
        <v>30000</v>
      </c>
      <c r="T32" s="7">
        <v>30000</v>
      </c>
      <c r="U32" s="7">
        <v>30000</v>
      </c>
    </row>
    <row r="33" spans="1:24">
      <c r="A33" s="155"/>
      <c r="C33" s="113" t="s">
        <v>51</v>
      </c>
      <c r="D33" s="9">
        <v>40000</v>
      </c>
      <c r="E33" s="9">
        <v>40000</v>
      </c>
      <c r="F33" s="9">
        <v>40000</v>
      </c>
      <c r="G33" s="9">
        <v>40000</v>
      </c>
      <c r="H33" s="9">
        <v>40000</v>
      </c>
      <c r="I33" s="9">
        <v>40000</v>
      </c>
      <c r="J33" s="9">
        <v>40000</v>
      </c>
      <c r="K33" s="9">
        <v>40000</v>
      </c>
      <c r="L33" s="9">
        <v>40000</v>
      </c>
      <c r="M33" s="9">
        <v>40000</v>
      </c>
      <c r="N33" s="9">
        <v>40000</v>
      </c>
      <c r="O33" s="9">
        <v>40000</v>
      </c>
      <c r="P33" s="9">
        <v>40000</v>
      </c>
      <c r="Q33" s="9">
        <v>40000</v>
      </c>
      <c r="R33" s="9">
        <v>40000</v>
      </c>
      <c r="S33" s="9">
        <v>40000</v>
      </c>
      <c r="T33" s="9">
        <v>40000</v>
      </c>
      <c r="U33" s="9">
        <v>40000</v>
      </c>
    </row>
    <row r="34" spans="1:24">
      <c r="A34" s="155"/>
      <c r="C34" s="113" t="s">
        <v>65</v>
      </c>
      <c r="D34" s="10">
        <v>6.5000000000000002E-2</v>
      </c>
      <c r="E34" s="10">
        <v>6.5000000000000002E-2</v>
      </c>
      <c r="F34" s="10">
        <v>6.5000000000000002E-2</v>
      </c>
      <c r="G34" s="10">
        <v>6.5000000000000002E-2</v>
      </c>
      <c r="H34" s="10">
        <v>6.5000000000000002E-2</v>
      </c>
      <c r="I34" s="10">
        <v>6.5000000000000002E-2</v>
      </c>
      <c r="J34" s="10">
        <v>6.5000000000000002E-2</v>
      </c>
      <c r="K34" s="10">
        <v>6.5000000000000002E-2</v>
      </c>
      <c r="L34" s="10">
        <v>6.5000000000000002E-2</v>
      </c>
      <c r="M34" s="10">
        <v>6.5000000000000002E-2</v>
      </c>
      <c r="N34" s="10">
        <v>6.5000000000000002E-2</v>
      </c>
      <c r="O34" s="10">
        <v>6.5000000000000002E-2</v>
      </c>
      <c r="P34" s="10">
        <v>6.5000000000000002E-2</v>
      </c>
      <c r="Q34" s="10">
        <v>6.5000000000000002E-2</v>
      </c>
      <c r="R34" s="10">
        <v>6.5000000000000002E-2</v>
      </c>
      <c r="S34" s="10">
        <v>6.5000000000000002E-2</v>
      </c>
      <c r="T34" s="10">
        <v>6.5000000000000002E-2</v>
      </c>
      <c r="U34" s="10">
        <v>6.5000000000000002E-2</v>
      </c>
    </row>
    <row r="35" spans="1:24">
      <c r="A35" s="155"/>
      <c r="C35" s="113" t="s">
        <v>51</v>
      </c>
      <c r="D35" s="7">
        <v>40000</v>
      </c>
      <c r="E35" s="7">
        <v>40000</v>
      </c>
      <c r="F35" s="7">
        <v>40000</v>
      </c>
      <c r="G35" s="7">
        <v>40000</v>
      </c>
      <c r="H35" s="7">
        <v>40000</v>
      </c>
      <c r="I35" s="7">
        <v>40000</v>
      </c>
      <c r="J35" s="7">
        <v>40000</v>
      </c>
      <c r="K35" s="7">
        <v>40000</v>
      </c>
      <c r="L35" s="7">
        <v>40000</v>
      </c>
      <c r="M35" s="7">
        <v>40000</v>
      </c>
      <c r="N35" s="7">
        <v>40000</v>
      </c>
      <c r="O35" s="7">
        <v>40000</v>
      </c>
      <c r="P35" s="7">
        <v>40000</v>
      </c>
      <c r="Q35" s="7">
        <v>40000</v>
      </c>
      <c r="R35" s="7">
        <v>40000</v>
      </c>
      <c r="S35" s="7">
        <v>40000</v>
      </c>
      <c r="T35" s="7">
        <v>40000</v>
      </c>
      <c r="U35" s="7">
        <v>40000</v>
      </c>
    </row>
    <row r="36" spans="1:24">
      <c r="A36" s="155"/>
      <c r="C36" s="113" t="s">
        <v>51</v>
      </c>
      <c r="D36" s="9">
        <v>65000</v>
      </c>
      <c r="E36" s="9">
        <v>65000</v>
      </c>
      <c r="F36" s="9">
        <v>65000</v>
      </c>
      <c r="G36" s="9">
        <v>65000</v>
      </c>
      <c r="H36" s="9">
        <v>65000</v>
      </c>
      <c r="I36" s="9">
        <v>65000</v>
      </c>
      <c r="J36" s="9">
        <v>65000</v>
      </c>
      <c r="K36" s="9">
        <v>65000</v>
      </c>
      <c r="L36" s="9">
        <v>65000</v>
      </c>
      <c r="M36" s="9">
        <v>65000</v>
      </c>
      <c r="N36" s="9">
        <v>65000</v>
      </c>
      <c r="O36" s="9">
        <v>65000</v>
      </c>
      <c r="P36" s="9">
        <v>65000</v>
      </c>
      <c r="Q36" s="9">
        <v>65000</v>
      </c>
      <c r="R36" s="9">
        <v>65000</v>
      </c>
      <c r="S36" s="9">
        <v>65000</v>
      </c>
      <c r="T36" s="9">
        <v>65000</v>
      </c>
      <c r="U36" s="9">
        <v>65000</v>
      </c>
    </row>
    <row r="37" spans="1:24">
      <c r="A37" s="155"/>
      <c r="C37" s="113" t="s">
        <v>65</v>
      </c>
      <c r="D37" s="10">
        <v>7.4999999999999997E-2</v>
      </c>
      <c r="E37" s="10">
        <v>7.4999999999999997E-2</v>
      </c>
      <c r="F37" s="10">
        <v>7.4999999999999997E-2</v>
      </c>
      <c r="G37" s="10">
        <v>7.4999999999999997E-2</v>
      </c>
      <c r="H37" s="10">
        <v>7.4999999999999997E-2</v>
      </c>
      <c r="I37" s="10">
        <v>7.4999999999999997E-2</v>
      </c>
      <c r="J37" s="10">
        <v>7.4999999999999997E-2</v>
      </c>
      <c r="K37" s="10">
        <v>7.4999999999999997E-2</v>
      </c>
      <c r="L37" s="10">
        <v>7.4999999999999997E-2</v>
      </c>
      <c r="M37" s="10">
        <v>7.4999999999999997E-2</v>
      </c>
      <c r="N37" s="10">
        <v>7.4999999999999997E-2</v>
      </c>
      <c r="O37" s="10">
        <v>7.4999999999999997E-2</v>
      </c>
      <c r="P37" s="10">
        <v>7.4999999999999997E-2</v>
      </c>
      <c r="Q37" s="10">
        <v>7.4999999999999997E-2</v>
      </c>
      <c r="R37" s="10">
        <v>7.4999999999999997E-2</v>
      </c>
      <c r="S37" s="10">
        <v>7.4999999999999997E-2</v>
      </c>
      <c r="T37" s="10">
        <v>7.4999999999999997E-2</v>
      </c>
      <c r="U37" s="10">
        <v>7.4999999999999997E-2</v>
      </c>
    </row>
    <row r="38" spans="1:24">
      <c r="A38" s="155"/>
      <c r="C38" s="113" t="s">
        <v>51</v>
      </c>
      <c r="D38" s="7">
        <v>65000</v>
      </c>
      <c r="E38" s="7">
        <v>65000</v>
      </c>
      <c r="F38" s="7">
        <v>65000</v>
      </c>
      <c r="G38" s="7">
        <v>65000</v>
      </c>
      <c r="H38" s="7">
        <v>65000</v>
      </c>
      <c r="I38" s="7">
        <v>65000</v>
      </c>
      <c r="J38" s="7">
        <v>65000</v>
      </c>
      <c r="K38" s="7">
        <v>65000</v>
      </c>
      <c r="L38" s="7">
        <v>65000</v>
      </c>
      <c r="M38" s="7">
        <v>65000</v>
      </c>
      <c r="N38" s="7">
        <v>65000</v>
      </c>
      <c r="O38" s="7">
        <v>65000</v>
      </c>
      <c r="P38" s="7">
        <v>65000</v>
      </c>
      <c r="Q38" s="7">
        <v>65000</v>
      </c>
      <c r="R38" s="7">
        <v>65000</v>
      </c>
      <c r="S38" s="7">
        <v>65000</v>
      </c>
      <c r="T38" s="7">
        <v>65000</v>
      </c>
      <c r="U38" s="7">
        <v>65000</v>
      </c>
    </row>
    <row r="39" spans="1:24">
      <c r="A39" s="155"/>
      <c r="C39" s="113" t="s">
        <v>51</v>
      </c>
      <c r="D39" s="9">
        <v>220000</v>
      </c>
      <c r="E39" s="9">
        <v>220000</v>
      </c>
      <c r="F39" s="9">
        <v>220000</v>
      </c>
      <c r="G39" s="9">
        <v>220000</v>
      </c>
      <c r="H39" s="9">
        <v>220000</v>
      </c>
      <c r="I39" s="9">
        <v>220000</v>
      </c>
      <c r="J39" s="9">
        <v>220000</v>
      </c>
      <c r="K39" s="9">
        <v>220000</v>
      </c>
      <c r="L39" s="9">
        <v>220000</v>
      </c>
      <c r="M39" s="9">
        <v>220000</v>
      </c>
      <c r="N39" s="9">
        <v>220000</v>
      </c>
      <c r="O39" s="9">
        <v>220000</v>
      </c>
      <c r="P39" s="9">
        <v>220000</v>
      </c>
      <c r="Q39" s="9">
        <v>220000</v>
      </c>
      <c r="R39" s="9">
        <v>220000</v>
      </c>
      <c r="S39" s="9">
        <v>220000</v>
      </c>
      <c r="T39" s="9">
        <v>220000</v>
      </c>
      <c r="U39" s="9">
        <v>220000</v>
      </c>
    </row>
    <row r="40" spans="1:24">
      <c r="A40" s="155"/>
      <c r="C40" s="113" t="s">
        <v>65</v>
      </c>
      <c r="D40" s="10">
        <v>0.09</v>
      </c>
      <c r="E40" s="10">
        <v>0.09</v>
      </c>
      <c r="F40" s="10">
        <v>0.09</v>
      </c>
      <c r="G40" s="10">
        <v>0.09</v>
      </c>
      <c r="H40" s="10">
        <v>0.09</v>
      </c>
      <c r="I40" s="10">
        <v>0.09</v>
      </c>
      <c r="J40" s="10">
        <v>0.09</v>
      </c>
      <c r="K40" s="10">
        <v>0.09</v>
      </c>
      <c r="L40" s="10">
        <v>0.09</v>
      </c>
      <c r="M40" s="10">
        <v>0.09</v>
      </c>
      <c r="N40" s="10">
        <v>0.09</v>
      </c>
      <c r="O40" s="10">
        <v>0.09</v>
      </c>
      <c r="P40" s="10">
        <v>0.09</v>
      </c>
      <c r="Q40" s="10">
        <v>0.09</v>
      </c>
      <c r="R40" s="10">
        <v>0.09</v>
      </c>
      <c r="S40" s="10">
        <v>0.09</v>
      </c>
      <c r="T40" s="10">
        <v>0.09</v>
      </c>
      <c r="U40" s="10">
        <v>0.09</v>
      </c>
    </row>
    <row r="41" spans="1:24">
      <c r="A41" s="155"/>
      <c r="C41" s="113" t="s">
        <v>51</v>
      </c>
      <c r="D41" s="7">
        <v>220000</v>
      </c>
      <c r="E41" s="7">
        <v>220000</v>
      </c>
      <c r="F41" s="7">
        <v>220000</v>
      </c>
      <c r="G41" s="7">
        <v>220000</v>
      </c>
      <c r="H41" s="7">
        <v>220000</v>
      </c>
      <c r="I41" s="7">
        <v>220000</v>
      </c>
      <c r="J41" s="7">
        <v>220000</v>
      </c>
      <c r="K41" s="7">
        <v>220000</v>
      </c>
      <c r="L41" s="7">
        <v>220000</v>
      </c>
      <c r="M41" s="7">
        <v>220000</v>
      </c>
      <c r="N41" s="7">
        <v>220000</v>
      </c>
      <c r="O41" s="7">
        <v>220000</v>
      </c>
      <c r="P41" s="7">
        <v>220000</v>
      </c>
      <c r="Q41" s="7">
        <v>220000</v>
      </c>
      <c r="R41" s="7">
        <v>220000</v>
      </c>
      <c r="S41" s="7">
        <v>220000</v>
      </c>
      <c r="T41" s="7">
        <v>220000</v>
      </c>
      <c r="U41" s="7">
        <v>220000</v>
      </c>
    </row>
    <row r="42" spans="1:24">
      <c r="A42" s="155"/>
      <c r="C42" s="113" t="s">
        <v>51</v>
      </c>
      <c r="D42" s="9">
        <v>9999999</v>
      </c>
      <c r="E42" s="9">
        <v>9999999</v>
      </c>
      <c r="F42" s="9">
        <v>9999999</v>
      </c>
      <c r="G42" s="9">
        <v>9999999</v>
      </c>
      <c r="H42" s="9">
        <v>9999999</v>
      </c>
      <c r="I42" s="9">
        <v>9999999</v>
      </c>
      <c r="J42" s="9">
        <v>9999999</v>
      </c>
      <c r="K42" s="9">
        <v>9999999</v>
      </c>
      <c r="L42" s="9">
        <v>9999999</v>
      </c>
      <c r="M42" s="9">
        <v>9999999</v>
      </c>
      <c r="N42" s="9">
        <v>9999999</v>
      </c>
      <c r="O42" s="9">
        <v>9999999</v>
      </c>
      <c r="P42" s="9">
        <v>9999999</v>
      </c>
      <c r="Q42" s="9">
        <v>9999999</v>
      </c>
      <c r="R42" s="9">
        <v>9999999</v>
      </c>
      <c r="S42" s="9">
        <v>9999999</v>
      </c>
      <c r="T42" s="9">
        <v>9999999</v>
      </c>
      <c r="U42" s="9">
        <v>9999999</v>
      </c>
    </row>
    <row r="43" spans="1:24" ht="12.75" thickBot="1">
      <c r="A43" s="159"/>
      <c r="C43" s="114" t="s">
        <v>65</v>
      </c>
      <c r="D43" s="12">
        <v>0.1</v>
      </c>
      <c r="E43" s="12">
        <v>0.1</v>
      </c>
      <c r="F43" s="12">
        <v>0.1</v>
      </c>
      <c r="G43" s="12">
        <v>0.1</v>
      </c>
      <c r="H43" s="12">
        <v>0.1</v>
      </c>
      <c r="I43" s="12">
        <v>0.1</v>
      </c>
      <c r="J43" s="12">
        <v>0.1</v>
      </c>
      <c r="K43" s="12">
        <v>0.1</v>
      </c>
      <c r="L43" s="12">
        <v>0.1</v>
      </c>
      <c r="M43" s="12">
        <v>0.1</v>
      </c>
      <c r="N43" s="12">
        <v>0.1</v>
      </c>
      <c r="O43" s="12">
        <v>0.1</v>
      </c>
      <c r="P43" s="12">
        <v>0.1</v>
      </c>
      <c r="Q43" s="12">
        <v>0.1</v>
      </c>
      <c r="R43" s="12">
        <v>0.1</v>
      </c>
      <c r="S43" s="12">
        <v>0.1</v>
      </c>
      <c r="T43" s="12">
        <v>0.1</v>
      </c>
      <c r="U43" s="12">
        <v>0.1</v>
      </c>
    </row>
    <row r="44" spans="1:24">
      <c r="A44" s="31" t="s">
        <v>5</v>
      </c>
      <c r="C44" s="113" t="s">
        <v>65</v>
      </c>
      <c r="D44" s="14">
        <f>20%*0+13.33%*1</f>
        <v>0.1333</v>
      </c>
      <c r="E44" s="14">
        <f t="shared" ref="E44:L44" si="1">20%*0+13.33%*1</f>
        <v>0.1333</v>
      </c>
      <c r="F44" s="14">
        <f t="shared" si="1"/>
        <v>0.1333</v>
      </c>
      <c r="G44" s="14">
        <f t="shared" si="1"/>
        <v>0.1333</v>
      </c>
      <c r="H44" s="14">
        <f t="shared" si="1"/>
        <v>0.1333</v>
      </c>
      <c r="I44" s="14">
        <f t="shared" si="1"/>
        <v>0.1333</v>
      </c>
      <c r="J44" s="14">
        <f t="shared" si="1"/>
        <v>0.1333</v>
      </c>
      <c r="K44" s="14">
        <f t="shared" si="1"/>
        <v>0.1333</v>
      </c>
      <c r="L44" s="14">
        <f t="shared" si="1"/>
        <v>0.1333</v>
      </c>
      <c r="M44" s="14">
        <v>6.6699999999999995E-2</v>
      </c>
      <c r="N44" s="14">
        <v>6.6699999999999995E-2</v>
      </c>
      <c r="O44" s="14">
        <v>6.6699999999999995E-2</v>
      </c>
      <c r="P44" s="14">
        <v>6.6699999999999995E-2</v>
      </c>
      <c r="Q44" s="14">
        <v>6.6699999999999995E-2</v>
      </c>
      <c r="R44" s="14">
        <v>6.6699999999999995E-2</v>
      </c>
      <c r="S44" s="14">
        <v>6.6699999999999995E-2</v>
      </c>
      <c r="T44" s="14">
        <v>6.6699999999999995E-2</v>
      </c>
      <c r="U44" s="14">
        <v>6.6699999999999995E-2</v>
      </c>
      <c r="X44" s="126" t="s">
        <v>231</v>
      </c>
    </row>
    <row r="45" spans="1:24">
      <c r="A45" s="199" t="s">
        <v>83</v>
      </c>
      <c r="D45" s="200">
        <f>IF(D129=1,D44,IF(D129=2,17%*0+D44*1,IF(D129=3,14%*0+D44*1,D44)))</f>
        <v>0.1333</v>
      </c>
      <c r="E45" s="200">
        <f t="shared" ref="E45:K45" si="2">IF(E129=1,E44,IF(E129=2,17%*0+E44*1,IF(E129=3,14%*0+E44*1,E44)))</f>
        <v>0.1333</v>
      </c>
      <c r="F45" s="200">
        <f t="shared" si="2"/>
        <v>0.1333</v>
      </c>
      <c r="G45" s="200">
        <f t="shared" si="2"/>
        <v>0.1333</v>
      </c>
      <c r="H45" s="200">
        <f t="shared" si="2"/>
        <v>0.1333</v>
      </c>
      <c r="I45" s="200">
        <f t="shared" si="2"/>
        <v>0.1333</v>
      </c>
      <c r="J45" s="200">
        <f t="shared" si="2"/>
        <v>0.1333</v>
      </c>
      <c r="K45" s="200">
        <f t="shared" si="2"/>
        <v>0.1333</v>
      </c>
      <c r="L45" s="221">
        <f ca="1">IF(YEAR(NOW())=2018,16%,IF(YEAR(NOW())=2019,18%*0+12%*1,IF(YEAR(NOW())=2020,19%*0+12.67%*1,IF(YEAR(NOW())=2021,19.5%*0+13%*1,IF(YEAR(NOW())&gt;=2022,L44)))))</f>
        <v>0.12</v>
      </c>
      <c r="M45" s="201">
        <f t="shared" ref="M45:S45" si="3">M44</f>
        <v>6.6699999999999995E-2</v>
      </c>
      <c r="N45" s="201">
        <f t="shared" ref="N45" si="4">N44</f>
        <v>6.6699999999999995E-2</v>
      </c>
      <c r="O45" s="201">
        <f t="shared" ref="O45" si="5">O44</f>
        <v>6.6699999999999995E-2</v>
      </c>
      <c r="P45" s="201">
        <f t="shared" si="3"/>
        <v>6.6699999999999995E-2</v>
      </c>
      <c r="Q45" s="201">
        <f t="shared" si="3"/>
        <v>6.6699999999999995E-2</v>
      </c>
      <c r="R45" s="201">
        <f t="shared" si="3"/>
        <v>6.6699999999999995E-2</v>
      </c>
      <c r="S45" s="201">
        <f t="shared" si="3"/>
        <v>6.6699999999999995E-2</v>
      </c>
      <c r="T45" s="201">
        <f t="shared" ref="T45" si="6">T44</f>
        <v>6.6699999999999995E-2</v>
      </c>
      <c r="U45" s="420">
        <f ca="1">IF(YEAR(NOW())=2018,3.34%,IF(YEAR(NOW())=2019,5%,IF(YEAR(NOW())=2020,6.67%,IF(YEAR(NOW())=2021,6.67%,IF(YEAR(NOW())&gt;=2022,U44)))))</f>
        <v>0.05</v>
      </c>
      <c r="X45" s="126" t="s">
        <v>231</v>
      </c>
    </row>
    <row r="46" spans="1:24">
      <c r="A46" s="13" t="s">
        <v>6</v>
      </c>
      <c r="C46" s="113" t="s">
        <v>65</v>
      </c>
      <c r="D46" s="14">
        <v>6.9500000000000006E-2</v>
      </c>
      <c r="E46" s="14">
        <v>6.9500000000000006E-2</v>
      </c>
      <c r="F46" s="14">
        <v>6.9500000000000006E-2</v>
      </c>
      <c r="G46" s="14">
        <v>6.9500000000000006E-2</v>
      </c>
      <c r="H46" s="14">
        <v>6.9500000000000006E-2</v>
      </c>
      <c r="I46" s="14">
        <v>6.9500000000000006E-2</v>
      </c>
      <c r="J46" s="14">
        <v>6.9500000000000006E-2</v>
      </c>
      <c r="K46" s="14">
        <v>6.9500000000000006E-2</v>
      </c>
      <c r="L46" s="14">
        <v>6.9500000000000006E-2</v>
      </c>
      <c r="M46" s="14">
        <v>2.5499999999999998E-2</v>
      </c>
      <c r="N46" s="14">
        <v>2.5499999999999998E-2</v>
      </c>
      <c r="O46" s="14">
        <v>2.5499999999999998E-2</v>
      </c>
      <c r="P46" s="14">
        <v>2.5499999999999998E-2</v>
      </c>
      <c r="Q46" s="14">
        <v>2.1499999999999998E-2</v>
      </c>
      <c r="R46" s="14">
        <v>2.1499999999999998E-2</v>
      </c>
      <c r="S46" s="14">
        <v>2.1499999999999998E-2</v>
      </c>
      <c r="T46" s="14">
        <v>2.1499999999999998E-2</v>
      </c>
      <c r="U46" s="14">
        <v>2.5499999999999998E-2</v>
      </c>
    </row>
    <row r="47" spans="1:24">
      <c r="A47" s="13" t="s">
        <v>109</v>
      </c>
      <c r="C47" s="113" t="s">
        <v>65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3.6799999999999999E-2</v>
      </c>
      <c r="R47" s="14">
        <v>3.6799999999999999E-2</v>
      </c>
      <c r="S47" s="14">
        <v>3.6799999999999999E-2</v>
      </c>
      <c r="T47" s="14">
        <v>3.6799999999999999E-2</v>
      </c>
      <c r="U47" s="14">
        <v>3.2800000000000003E-2</v>
      </c>
    </row>
    <row r="48" spans="1:24" ht="11.25">
      <c r="A48" s="15" t="s">
        <v>8</v>
      </c>
      <c r="C48" s="4"/>
      <c r="D48" s="411">
        <f ca="1">IF(NOW()-"1/6/2019"&lt;0,7%,IF(NOW()-"1/6/2022"&lt;0,6.5%,6%))</f>
        <v>7.0000000000000007E-2</v>
      </c>
      <c r="E48" s="411">
        <f ca="1">IF(NOW()-"1/6/2019"&lt;0,7%,IF(NOW()-"1/6/2022"&lt;0,6.5%,6%))</f>
        <v>7.0000000000000007E-2</v>
      </c>
      <c r="F48" s="412">
        <v>0</v>
      </c>
      <c r="G48" s="412">
        <v>0</v>
      </c>
      <c r="H48" s="411">
        <f ca="1">IF(NOW()-"1/6/2019"&lt;0,7%,IF(NOW()-"1/6/2022"&lt;0,6.5%,6%))</f>
        <v>7.0000000000000007E-2</v>
      </c>
      <c r="I48" s="411">
        <f ca="1">IF(NOW()-"1/6/2019"&lt;0,7%,IF(NOW()-"1/6/2022"&lt;0,6.5%,6%))</f>
        <v>7.0000000000000007E-2</v>
      </c>
      <c r="J48" s="412">
        <v>0</v>
      </c>
      <c r="K48" s="412">
        <v>0</v>
      </c>
      <c r="L48" s="412">
        <v>0</v>
      </c>
      <c r="M48" s="413">
        <f ca="1">IF(NOW()-"1/6/2019"&lt;0,3.5%,IF(NOW()-"1/6/2022"&lt;0,3.25%,3%))</f>
        <v>3.5000000000000003E-2</v>
      </c>
      <c r="N48" s="413">
        <f ca="1">IF(NOW()-"1/6/2019"&lt;0,3.5%,IF(NOW()-"1/6/2022"&lt;0,3.25%,3%))</f>
        <v>3.5000000000000003E-2</v>
      </c>
      <c r="O48" s="412">
        <v>0</v>
      </c>
      <c r="P48" s="412">
        <v>0</v>
      </c>
      <c r="Q48" s="413">
        <f ca="1">IF(NOW()-"1/6/2019"&lt;0,3.5%,IF(NOW()-"1/6/2022"&lt;0,3.25%,3%))</f>
        <v>3.5000000000000003E-2</v>
      </c>
      <c r="R48" s="413">
        <f ca="1">IF(NOW()-"1/6/2019"&lt;0,3.5%,IF(NOW()-"1/6/2022"&lt;0,3.25%,3%))</f>
        <v>3.5000000000000003E-2</v>
      </c>
      <c r="S48" s="412">
        <v>0</v>
      </c>
      <c r="T48" s="412">
        <v>0</v>
      </c>
      <c r="U48" s="412">
        <v>0</v>
      </c>
    </row>
    <row r="49" spans="1:24" ht="12.75" thickBot="1">
      <c r="A49" s="16" t="s">
        <v>9</v>
      </c>
      <c r="C49" s="113" t="s">
        <v>65</v>
      </c>
      <c r="D49" s="17">
        <v>0.04</v>
      </c>
      <c r="E49" s="17">
        <v>0.04</v>
      </c>
      <c r="F49" s="17">
        <v>0</v>
      </c>
      <c r="G49" s="17">
        <v>0.04</v>
      </c>
      <c r="H49" s="17">
        <v>0.04</v>
      </c>
      <c r="I49" s="17">
        <v>0.04</v>
      </c>
      <c r="J49" s="17">
        <v>0</v>
      </c>
      <c r="K49" s="17">
        <v>0.04</v>
      </c>
      <c r="L49" s="17">
        <v>0</v>
      </c>
      <c r="M49" s="17">
        <v>0.04</v>
      </c>
      <c r="N49" s="425">
        <v>0.02</v>
      </c>
      <c r="O49" s="17">
        <v>0.04</v>
      </c>
      <c r="P49" s="17">
        <v>0</v>
      </c>
      <c r="Q49" s="17">
        <v>0.04</v>
      </c>
      <c r="R49" s="17">
        <v>0.04</v>
      </c>
      <c r="S49" s="17">
        <v>0</v>
      </c>
      <c r="T49" s="17">
        <v>0</v>
      </c>
      <c r="U49" s="17">
        <v>0</v>
      </c>
    </row>
    <row r="50" spans="1:24" thickTop="1">
      <c r="A50" s="19" t="s">
        <v>232</v>
      </c>
      <c r="C50" s="435"/>
      <c r="D50" s="416">
        <f ca="1">MAX((MAX(D45*D113,D62)*IF(D129=1,1,0)+D45*D113*IF(D129=1,0,1)+(D46+D47)*D113)*IF(AND($B$1&gt;0,D138&lt;0.001),0,1)+(D48+D49)*(D114*0+D63*1)*IF(AND($B$1&gt;0,D138&lt;0.001),0,1)-D132/D124,0)*D131</f>
        <v>260.36880000000002</v>
      </c>
      <c r="E50" s="416">
        <f t="shared" ref="E50:K50" ca="1" si="7">MAX((MAX(E45*E113,E62)*IF(E129=1,1,0)+E45*E113*IF(E129=1,0,1)+(E46+E47)*E113)*IF(AND($B$1&gt;0,E138&lt;0.001),0,1)+(E48+E49)*(E114*0+E63*1)*IF(AND($B$1&gt;0,E138&lt;0.001),0,1)-E132/E124,0)*E131</f>
        <v>260.36880000000002</v>
      </c>
      <c r="F50" s="416">
        <f t="shared" si="7"/>
        <v>195.9</v>
      </c>
      <c r="G50" s="416">
        <f t="shared" si="7"/>
        <v>221.3432</v>
      </c>
      <c r="H50" s="416">
        <f t="shared" ca="1" si="7"/>
        <v>277.26880000000006</v>
      </c>
      <c r="I50" s="416">
        <f t="shared" ca="1" si="7"/>
        <v>277.26880000000006</v>
      </c>
      <c r="J50" s="416">
        <f t="shared" si="7"/>
        <v>212.8</v>
      </c>
      <c r="K50" s="416">
        <f t="shared" si="7"/>
        <v>238.2432</v>
      </c>
      <c r="L50" s="434">
        <f ca="1">MAX((MAX(L45*L113,L62)*1+L45*L113*0+(L46+L47)*L113)*IF(AND($B$1&gt;0,L138&lt;0.001),0,1)+(L48+L49)*(L114*0+L63*1)*IF(AND($B$1&gt;0,L138&lt;0.001),0,1)-L132/L124,0)*L131</f>
        <v>175.99999999999997</v>
      </c>
      <c r="M50" s="248">
        <f ca="1">MAX(IF(M113&lt;&gt;M115,(M136*M113-M132/M124-M58)*IF(AND($B$1&gt;0,M138&lt;0.001),0,1),(M45+M46+M47)*M113*IF(AND($B$1&gt;0,M138&lt;0.001),0,1)+(M48*M114+M49*(M114*0+M63*1))*IF(AND($B$1&gt;0,M138&lt;0.001),0,1)-M132/M124),0)*M131</f>
        <v>138.23806480000002</v>
      </c>
      <c r="N50" s="422">
        <f t="shared" ref="N50" ca="1" si="8">MAX(IF(N113&lt;&gt;N115,(N136*N113-N132/N124-N58)*IF(AND($B$1&gt;0,N138&lt;0.001),0,1),(N45+N46+N47)*N113*IF(AND($B$1&gt;0,N138&lt;0.001),0,1)+(N48+N49)*(N114*0+N63*1)*IF(AND($B$1&gt;0,N138&lt;0.001),0,1)-N132/N124),0)*N131</f>
        <v>116.9628688</v>
      </c>
      <c r="O50" s="248">
        <f ca="1">MAX(IF(O113&lt;&gt;O115,(O136*O113-O132/O124-O58)*IF(AND($B$1&gt;0,O138&lt;0.001),0,1),(O45+O46+O47)*O113*IF(AND($B$1&gt;0,O138&lt;0.001),0,1)+(O48*O114+O49*(O114*0+O63*1))*IF(AND($B$1&gt;0,O138&lt;0.001),0,1)-O132/O124),0)*O131</f>
        <v>113.65830400000002</v>
      </c>
      <c r="P50" s="248">
        <f ca="1">MAX(IF(P113&lt;&gt;P115,(P136*P113-P132/P124-P58)*IF(AND($B$1&gt;0,P138&lt;0.001),0,1),(P45+P46+P47)*P113*IF(AND($B$1&gt;0,P138&lt;0.001),0,1)+(P48*P114+P49*(P114*0+P63*1))*IF(AND($B$1&gt;0,P138&lt;0.001),0,1)-P132/P124),0)*P131</f>
        <v>88.215104000000011</v>
      </c>
      <c r="Q50" s="423">
        <f ca="1">MAX((Q45+Q46+Q47)*Q113*IF(AND($B$1&gt;0,Q138&lt;0.001),0,1)+(Q48*Q114+Q49*(Q114*0+Q63*1))*IF(AND($B$1&gt;0,Q138&lt;0.001),0,1)-Q132/Q124,0)*Q131</f>
        <v>151.38175999999999</v>
      </c>
      <c r="R50" s="423">
        <f ca="1">MAX((R45+R46+R47)*R113*IF(AND($B$1&gt;0,R138&lt;0.001),0,1)+(R48*R114+R49*(R114*0+R63*1))*IF(AND($B$1&gt;0,R138&lt;0.001),0,1)-R132/R124,0)*R131</f>
        <v>153.38175999999999</v>
      </c>
      <c r="S50" s="202">
        <f>MAX((S45+S46+S47)*S113*IF(AND($B$1&gt;0,S138&lt;0.001),0,1)+(S48+S49)*S114*IF(AND($B$1&gt;0,S138&lt;0.001),0,1)-S132/S124,0)*S131</f>
        <v>102.829875</v>
      </c>
      <c r="T50" s="202">
        <f>MAX((T45+T46+T47)*T113*IF(AND($B$1&gt;0,T138&lt;0.001),0,1)+(T48+T49)*T114*IF(AND($B$1&gt;0,T138&lt;0.001),0,1)-T132/T124,0)*T131</f>
        <v>102.829875</v>
      </c>
      <c r="U50" s="202">
        <f ca="1">MAX((U45+U46+U47)*U113*IF(AND($B$1&gt;0,U138&lt;0.001),0,1)+(U48+U49)*U114*IF(AND($B$1&gt;0,U138&lt;0.001),0,1)-U132/U124,0)*U131</f>
        <v>88.967367000000024</v>
      </c>
      <c r="X50" s="126" t="s">
        <v>231</v>
      </c>
    </row>
    <row r="51" spans="1:24" ht="12.75" thickBot="1">
      <c r="A51" s="18" t="s">
        <v>233</v>
      </c>
      <c r="C51" s="436"/>
      <c r="D51" s="163">
        <f t="shared" ref="D51:U51" ca="1" si="9">D50*D124</f>
        <v>3124.4256000000005</v>
      </c>
      <c r="E51" s="163">
        <f t="shared" ca="1" si="9"/>
        <v>3124.4256000000005</v>
      </c>
      <c r="F51" s="163">
        <f t="shared" si="9"/>
        <v>2350.8000000000002</v>
      </c>
      <c r="G51" s="163">
        <f t="shared" si="9"/>
        <v>2656.1183999999998</v>
      </c>
      <c r="H51" s="163">
        <f t="shared" ca="1" si="9"/>
        <v>3327.2256000000007</v>
      </c>
      <c r="I51" s="163">
        <f t="shared" ca="1" si="9"/>
        <v>3327.2256000000007</v>
      </c>
      <c r="J51" s="163">
        <f t="shared" si="9"/>
        <v>2553.6000000000004</v>
      </c>
      <c r="K51" s="163">
        <f t="shared" si="9"/>
        <v>2858.9184</v>
      </c>
      <c r="L51" s="163">
        <f t="shared" ca="1" si="9"/>
        <v>2111.9999999999995</v>
      </c>
      <c r="M51" s="163">
        <f t="shared" ca="1" si="9"/>
        <v>1658.8567776000002</v>
      </c>
      <c r="N51" s="163">
        <f t="shared" ca="1" si="9"/>
        <v>1403.5544255999998</v>
      </c>
      <c r="O51" s="163">
        <f t="shared" ca="1" si="9"/>
        <v>1363.8996480000001</v>
      </c>
      <c r="P51" s="163">
        <f t="shared" ca="1" si="9"/>
        <v>1058.5812480000002</v>
      </c>
      <c r="Q51" s="163">
        <f t="shared" ca="1" si="9"/>
        <v>1816.5811199999998</v>
      </c>
      <c r="R51" s="163">
        <f t="shared" ca="1" si="9"/>
        <v>1840.5811199999998</v>
      </c>
      <c r="S51" s="163">
        <f t="shared" si="9"/>
        <v>1233.9585</v>
      </c>
      <c r="T51" s="163">
        <f t="shared" si="9"/>
        <v>1233.9585</v>
      </c>
      <c r="U51" s="163">
        <f t="shared" ca="1" si="9"/>
        <v>1067.6084040000003</v>
      </c>
    </row>
    <row r="52" spans="1:24" ht="12.75" thickTop="1">
      <c r="A52" s="19" t="s">
        <v>7</v>
      </c>
      <c r="C52" s="112" t="s">
        <v>65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  <c r="I52" s="20">
        <v>0</v>
      </c>
      <c r="J52" s="20">
        <v>0</v>
      </c>
      <c r="K52" s="20">
        <v>0</v>
      </c>
      <c r="L52" s="20">
        <v>0</v>
      </c>
      <c r="M52" s="21">
        <v>0.1333</v>
      </c>
      <c r="N52" s="21">
        <v>0.1333</v>
      </c>
      <c r="O52" s="21">
        <v>0.1333</v>
      </c>
      <c r="P52" s="21">
        <v>0.1333</v>
      </c>
      <c r="Q52" s="21">
        <v>0.1333</v>
      </c>
      <c r="R52" s="21">
        <v>0.1333</v>
      </c>
      <c r="S52" s="21">
        <v>0.1333</v>
      </c>
      <c r="T52" s="21">
        <v>0.1333</v>
      </c>
      <c r="U52" s="421">
        <f ca="1">IF(YEAR(NOW())=2018,13.67%,IF(YEAR(NOW())=2019,13.5%,IF(YEAR(NOW())=2020,13.33%,IF(YEAR(NOW())=2021,13.33%,IF(YEAR(NOW())&gt;=2022,13.33%)))))</f>
        <v>0.13500000000000001</v>
      </c>
    </row>
    <row r="53" spans="1:24">
      <c r="A53" s="13" t="s">
        <v>12</v>
      </c>
      <c r="C53" s="113" t="s">
        <v>65</v>
      </c>
      <c r="D53" s="22">
        <v>0</v>
      </c>
      <c r="E53" s="22">
        <v>0</v>
      </c>
      <c r="F53" s="22">
        <v>0</v>
      </c>
      <c r="G53" s="22">
        <v>0</v>
      </c>
      <c r="H53" s="22">
        <v>0</v>
      </c>
      <c r="I53" s="22">
        <v>0</v>
      </c>
      <c r="J53" s="22">
        <v>0</v>
      </c>
      <c r="K53" s="22">
        <v>0</v>
      </c>
      <c r="L53" s="22">
        <v>0</v>
      </c>
      <c r="M53" s="14">
        <v>4.5499999999999999E-2</v>
      </c>
      <c r="N53" s="14">
        <v>4.5499999999999999E-2</v>
      </c>
      <c r="O53" s="14">
        <v>4.5499999999999999E-2</v>
      </c>
      <c r="P53" s="14">
        <v>4.5499999999999999E-2</v>
      </c>
      <c r="Q53" s="14">
        <v>4.2999999999999997E-2</v>
      </c>
      <c r="R53" s="14">
        <v>4.2999999999999997E-2</v>
      </c>
      <c r="S53" s="14">
        <v>4.2999999999999997E-2</v>
      </c>
      <c r="T53" s="14">
        <v>4.2999999999999997E-2</v>
      </c>
      <c r="U53" s="14">
        <v>4.5499999999999999E-2</v>
      </c>
    </row>
    <row r="54" spans="1:24">
      <c r="A54" s="15" t="s">
        <v>13</v>
      </c>
      <c r="D54" s="22">
        <v>0</v>
      </c>
      <c r="E54" s="22">
        <v>0</v>
      </c>
      <c r="F54" s="22">
        <v>0</v>
      </c>
      <c r="G54" s="22">
        <v>0</v>
      </c>
      <c r="H54" s="22">
        <v>0</v>
      </c>
      <c r="I54" s="22">
        <v>0</v>
      </c>
      <c r="J54" s="22">
        <v>0</v>
      </c>
      <c r="K54" s="22">
        <v>0</v>
      </c>
      <c r="L54" s="22">
        <v>0</v>
      </c>
      <c r="M54" s="413">
        <f ca="1">IF(NOW()-"1/6/2019"&lt;0,3.5%,IF(NOW()-"1/6/2022"&lt;0,3.25%,3%))</f>
        <v>3.5000000000000003E-2</v>
      </c>
      <c r="N54" s="413">
        <f ca="1">IF(NOW()-"1/6/2019"&lt;0,3.5%,IF(NOW()-"1/6/2022"&lt;0,3.25%,3%))</f>
        <v>3.5000000000000003E-2</v>
      </c>
      <c r="O54" s="412">
        <v>0</v>
      </c>
      <c r="P54" s="412">
        <v>0</v>
      </c>
      <c r="Q54" s="413">
        <f ca="1">IF(NOW()-"1/6/2019"&lt;0,3.5%,IF(NOW()-"1/6/2022"&lt;0,3.25%,3%))</f>
        <v>3.5000000000000003E-2</v>
      </c>
      <c r="R54" s="413">
        <f ca="1">IF(NOW()-"1/6/2019"&lt;0,3.5%,IF(NOW()-"1/6/2022"&lt;0,3.25%,3%))</f>
        <v>3.5000000000000003E-2</v>
      </c>
      <c r="S54" s="412">
        <v>0</v>
      </c>
      <c r="T54" s="412">
        <v>0</v>
      </c>
      <c r="U54" s="412">
        <v>0</v>
      </c>
    </row>
    <row r="55" spans="1:24">
      <c r="A55" s="23" t="s">
        <v>14</v>
      </c>
      <c r="C55" s="113" t="s">
        <v>65</v>
      </c>
      <c r="D55" s="22">
        <v>0</v>
      </c>
      <c r="E55" s="22">
        <v>0</v>
      </c>
      <c r="F55" s="22">
        <v>0</v>
      </c>
      <c r="G55" s="22">
        <v>0</v>
      </c>
      <c r="H55" s="22">
        <v>0</v>
      </c>
      <c r="I55" s="22">
        <v>0</v>
      </c>
      <c r="J55" s="22">
        <v>0</v>
      </c>
      <c r="K55" s="22">
        <v>0</v>
      </c>
      <c r="L55" s="22">
        <v>0</v>
      </c>
      <c r="M55" s="24">
        <v>0</v>
      </c>
      <c r="N55" s="24">
        <v>0</v>
      </c>
      <c r="O55" s="24">
        <v>0</v>
      </c>
      <c r="P55" s="24">
        <v>0</v>
      </c>
      <c r="Q55" s="14">
        <v>3.9300000000000002E-2</v>
      </c>
      <c r="R55" s="14">
        <v>3.9300000000000002E-2</v>
      </c>
      <c r="S55" s="14">
        <v>3.9300000000000002E-2</v>
      </c>
      <c r="T55" s="14">
        <v>3.9300000000000002E-2</v>
      </c>
      <c r="U55" s="14">
        <v>3.6799999999999999E-2</v>
      </c>
    </row>
    <row r="56" spans="1:24">
      <c r="A56" s="25" t="s">
        <v>39</v>
      </c>
      <c r="C56" s="113" t="s">
        <v>65</v>
      </c>
      <c r="D56" s="26">
        <v>0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</row>
    <row r="57" spans="1:24" ht="12.75" thickBot="1">
      <c r="A57" s="28" t="s">
        <v>15</v>
      </c>
      <c r="C57" s="169" t="s">
        <v>65</v>
      </c>
      <c r="D57" s="29">
        <v>0</v>
      </c>
      <c r="E57" s="29">
        <v>0</v>
      </c>
      <c r="F57" s="29">
        <v>0</v>
      </c>
      <c r="G57" s="29">
        <v>0</v>
      </c>
      <c r="H57" s="29">
        <v>0</v>
      </c>
      <c r="I57" s="29">
        <v>0</v>
      </c>
      <c r="J57" s="29">
        <v>0</v>
      </c>
      <c r="K57" s="29">
        <v>0</v>
      </c>
      <c r="L57" s="29">
        <v>0</v>
      </c>
      <c r="M57" s="30">
        <v>0</v>
      </c>
      <c r="N57" s="425">
        <v>0.02</v>
      </c>
      <c r="O57" s="30">
        <v>0</v>
      </c>
      <c r="P57" s="30">
        <v>0</v>
      </c>
      <c r="Q57" s="30">
        <v>0</v>
      </c>
      <c r="R57" s="30">
        <v>0</v>
      </c>
      <c r="S57" s="30">
        <v>0</v>
      </c>
      <c r="T57" s="30">
        <v>0</v>
      </c>
      <c r="U57" s="30">
        <v>0</v>
      </c>
      <c r="X57" s="126" t="s">
        <v>231</v>
      </c>
    </row>
    <row r="58" spans="1:24" ht="12.75" thickTop="1">
      <c r="A58" s="19" t="s">
        <v>87</v>
      </c>
      <c r="D58" s="202">
        <f ca="1">MAX((D52+D53+D54+D55+D57+D56)*D115,0)</f>
        <v>0</v>
      </c>
      <c r="E58" s="202">
        <f t="shared" ref="E58" ca="1" si="10">MAX((E52+E53+E54+E55+E57+E56)*E115,0)</f>
        <v>0</v>
      </c>
      <c r="F58" s="202">
        <f t="shared" ref="F58:U58" ca="1" si="11">MAX((F52+F53+F54+F55+F57+F56)*F115,0)</f>
        <v>0</v>
      </c>
      <c r="G58" s="202">
        <f t="shared" ca="1" si="11"/>
        <v>0</v>
      </c>
      <c r="H58" s="202">
        <f t="shared" ca="1" si="11"/>
        <v>0</v>
      </c>
      <c r="I58" s="202">
        <f t="shared" ref="I58" ca="1" si="12">MAX((I52+I53+I54+I55+I57+I56)*I115,0)</f>
        <v>0</v>
      </c>
      <c r="J58" s="202">
        <f t="shared" ca="1" si="11"/>
        <v>0</v>
      </c>
      <c r="K58" s="202">
        <f t="shared" ca="1" si="11"/>
        <v>0</v>
      </c>
      <c r="L58" s="202">
        <f t="shared" ca="1" si="11"/>
        <v>0</v>
      </c>
      <c r="M58" s="202">
        <f t="shared" ca="1" si="11"/>
        <v>176.14105420000001</v>
      </c>
      <c r="N58" s="424">
        <f ca="1">MAX((N52+N53+N54+N55+N57*0+N56)*N115+N57*N63*1,0)</f>
        <v>185.00735519999998</v>
      </c>
      <c r="O58" s="202">
        <f t="shared" ca="1" si="11"/>
        <v>151.67961600000004</v>
      </c>
      <c r="P58" s="202">
        <f t="shared" ca="1" si="11"/>
        <v>151.67961600000004</v>
      </c>
      <c r="Q58" s="202">
        <f t="shared" ca="1" si="11"/>
        <v>200.38376960000002</v>
      </c>
      <c r="R58" s="202">
        <f t="shared" ca="1" si="11"/>
        <v>200.38376960000002</v>
      </c>
      <c r="S58" s="202">
        <f t="shared" ca="1" si="11"/>
        <v>177.36096840000002</v>
      </c>
      <c r="T58" s="202">
        <f t="shared" ref="T58" ca="1" si="13">MAX((T52+T53+T54+T55+T57+T56)*T115,0)</f>
        <v>177.36096840000002</v>
      </c>
      <c r="U58" s="202">
        <f t="shared" ca="1" si="11"/>
        <v>178.50977700000001</v>
      </c>
      <c r="X58" s="126" t="s">
        <v>231</v>
      </c>
    </row>
    <row r="59" spans="1:24" ht="12.75" thickBot="1">
      <c r="A59" s="18" t="s">
        <v>88</v>
      </c>
      <c r="C59" s="203"/>
      <c r="D59" s="163">
        <f ca="1">D58*D124</f>
        <v>0</v>
      </c>
      <c r="E59" s="163">
        <f t="shared" ref="E59" ca="1" si="14">E58*E124</f>
        <v>0</v>
      </c>
      <c r="F59" s="163">
        <f t="shared" ref="F59:U59" ca="1" si="15">F58*F124</f>
        <v>0</v>
      </c>
      <c r="G59" s="163">
        <f t="shared" ca="1" si="15"/>
        <v>0</v>
      </c>
      <c r="H59" s="163">
        <f t="shared" ca="1" si="15"/>
        <v>0</v>
      </c>
      <c r="I59" s="163">
        <f t="shared" ref="I59" ca="1" si="16">I58*I124</f>
        <v>0</v>
      </c>
      <c r="J59" s="163">
        <f t="shared" ca="1" si="15"/>
        <v>0</v>
      </c>
      <c r="K59" s="163">
        <f t="shared" ca="1" si="15"/>
        <v>0</v>
      </c>
      <c r="L59" s="163">
        <f t="shared" ca="1" si="15"/>
        <v>0</v>
      </c>
      <c r="M59" s="163">
        <f t="shared" ca="1" si="15"/>
        <v>2113.6926504000003</v>
      </c>
      <c r="N59" s="163">
        <f t="shared" ca="1" si="15"/>
        <v>2220.0882623999996</v>
      </c>
      <c r="O59" s="163">
        <f t="shared" ca="1" si="15"/>
        <v>1820.1553920000006</v>
      </c>
      <c r="P59" s="163">
        <f t="shared" ca="1" si="15"/>
        <v>1820.1553920000006</v>
      </c>
      <c r="Q59" s="163">
        <f t="shared" ca="1" si="15"/>
        <v>2404.6052352000002</v>
      </c>
      <c r="R59" s="163">
        <f t="shared" ca="1" si="15"/>
        <v>2404.6052352000002</v>
      </c>
      <c r="S59" s="163">
        <f t="shared" ca="1" si="15"/>
        <v>2128.3316208000001</v>
      </c>
      <c r="T59" s="163">
        <f t="shared" ref="T59" ca="1" si="17">T58*T124</f>
        <v>2128.3316208000001</v>
      </c>
      <c r="U59" s="163">
        <f t="shared" ca="1" si="15"/>
        <v>2142.1173240000003</v>
      </c>
    </row>
    <row r="60" spans="1:24" ht="12.75" thickTop="1">
      <c r="A60" s="31" t="s">
        <v>32</v>
      </c>
      <c r="C60" s="112" t="s">
        <v>51</v>
      </c>
      <c r="D60" s="32">
        <v>5860.8</v>
      </c>
      <c r="E60" s="32">
        <v>5860.8</v>
      </c>
      <c r="F60" s="32">
        <v>5860.8</v>
      </c>
      <c r="G60" s="32">
        <v>5860.8</v>
      </c>
      <c r="H60" s="32">
        <v>5860.8</v>
      </c>
      <c r="I60" s="32">
        <v>5860.8</v>
      </c>
      <c r="J60" s="32">
        <v>5860.8</v>
      </c>
      <c r="K60" s="32">
        <v>5860.8</v>
      </c>
      <c r="L60" s="32">
        <v>5860.8</v>
      </c>
      <c r="M60" s="32">
        <v>5860.8</v>
      </c>
      <c r="N60" s="32">
        <v>5860.8</v>
      </c>
      <c r="O60" s="32">
        <v>5860.8</v>
      </c>
      <c r="P60" s="32">
        <v>5860.8</v>
      </c>
      <c r="Q60" s="32">
        <v>5860.8</v>
      </c>
      <c r="R60" s="32">
        <v>5860.8</v>
      </c>
      <c r="S60" s="32">
        <v>5860.8</v>
      </c>
      <c r="T60" s="32">
        <v>5860.8</v>
      </c>
      <c r="U60" s="32">
        <v>5860.8</v>
      </c>
    </row>
    <row r="61" spans="1:24">
      <c r="A61" s="13" t="s">
        <v>84</v>
      </c>
      <c r="C61" s="205"/>
      <c r="D61" s="204">
        <f t="shared" ref="D61:K61" si="18">D60/10</f>
        <v>586.08000000000004</v>
      </c>
      <c r="E61" s="204">
        <f t="shared" ref="E61" si="19">E60/10</f>
        <v>586.08000000000004</v>
      </c>
      <c r="F61" s="204">
        <f t="shared" si="18"/>
        <v>586.08000000000004</v>
      </c>
      <c r="G61" s="204">
        <f t="shared" si="18"/>
        <v>586.08000000000004</v>
      </c>
      <c r="H61" s="204">
        <f t="shared" si="18"/>
        <v>586.08000000000004</v>
      </c>
      <c r="I61" s="204">
        <f t="shared" ref="I61" si="20">I60/10</f>
        <v>586.08000000000004</v>
      </c>
      <c r="J61" s="204">
        <f t="shared" si="18"/>
        <v>586.08000000000004</v>
      </c>
      <c r="K61" s="204">
        <f t="shared" si="18"/>
        <v>586.08000000000004</v>
      </c>
      <c r="L61" s="222">
        <f>L60/10*0.7</f>
        <v>410.25600000000003</v>
      </c>
      <c r="M61" s="204">
        <f t="shared" ref="M61:U61" si="21">M60/10</f>
        <v>586.08000000000004</v>
      </c>
      <c r="N61" s="204">
        <f t="shared" ref="N61" si="22">N60/10</f>
        <v>586.08000000000004</v>
      </c>
      <c r="O61" s="204">
        <f t="shared" ref="O61" si="23">O60/10</f>
        <v>586.08000000000004</v>
      </c>
      <c r="P61" s="204">
        <f t="shared" si="21"/>
        <v>586.08000000000004</v>
      </c>
      <c r="Q61" s="204">
        <f t="shared" si="21"/>
        <v>586.08000000000004</v>
      </c>
      <c r="R61" s="204">
        <f t="shared" si="21"/>
        <v>586.08000000000004</v>
      </c>
      <c r="S61" s="204">
        <f t="shared" si="21"/>
        <v>586.08000000000004</v>
      </c>
      <c r="T61" s="204">
        <f t="shared" ref="T61" si="24">T60/10</f>
        <v>586.08000000000004</v>
      </c>
      <c r="U61" s="204">
        <f t="shared" si="21"/>
        <v>586.08000000000004</v>
      </c>
    </row>
    <row r="62" spans="1:24">
      <c r="A62" s="13" t="s">
        <v>235</v>
      </c>
      <c r="C62" s="419"/>
      <c r="D62" s="204">
        <f>20%*D61</f>
        <v>117.21600000000001</v>
      </c>
      <c r="E62" s="204">
        <f t="shared" ref="E62:K62" si="25">20%*E61</f>
        <v>117.21600000000001</v>
      </c>
      <c r="F62" s="204">
        <f t="shared" si="25"/>
        <v>117.21600000000001</v>
      </c>
      <c r="G62" s="204">
        <f t="shared" si="25"/>
        <v>117.21600000000001</v>
      </c>
      <c r="H62" s="204">
        <f t="shared" si="25"/>
        <v>117.21600000000001</v>
      </c>
      <c r="I62" s="204">
        <f t="shared" si="25"/>
        <v>117.21600000000001</v>
      </c>
      <c r="J62" s="204">
        <f t="shared" si="25"/>
        <v>117.21600000000001</v>
      </c>
      <c r="K62" s="204">
        <f t="shared" si="25"/>
        <v>117.21600000000001</v>
      </c>
      <c r="L62" s="418">
        <f ca="1">IF(YEAR(NOW())=2018,16%,IF(YEAR(NOW())=2019,18%,IF(YEAR(NOW())=2020,19%,IF(YEAR(NOW())=2021,19.5%,IF(YEAR(NOW())&gt;=2022,20%)))))*L61</f>
        <v>73.846080000000001</v>
      </c>
      <c r="M62" s="417"/>
      <c r="N62" s="417"/>
      <c r="O62" s="417"/>
      <c r="P62" s="417"/>
      <c r="Q62" s="417"/>
      <c r="R62" s="417"/>
      <c r="S62" s="417"/>
      <c r="T62" s="417"/>
      <c r="U62" s="417"/>
      <c r="X62" s="126" t="s">
        <v>231</v>
      </c>
    </row>
    <row r="63" spans="1:24">
      <c r="A63" s="206" t="s">
        <v>85</v>
      </c>
      <c r="C63" s="415"/>
      <c r="D63" s="207">
        <f t="shared" ref="D63:K63" si="26">IF(D129=1,D61,IF(D129=2,D61*0.7,IF(D129=3,D61*0.7,D61)))</f>
        <v>586.08000000000004</v>
      </c>
      <c r="E63" s="207">
        <f t="shared" ref="E63" si="27">IF(E129=1,E61,IF(E129=2,E61*0.7,IF(E129=3,E61*0.7,E61)))</f>
        <v>586.08000000000004</v>
      </c>
      <c r="F63" s="207">
        <f t="shared" si="26"/>
        <v>586.08000000000004</v>
      </c>
      <c r="G63" s="207">
        <f t="shared" si="26"/>
        <v>586.08000000000004</v>
      </c>
      <c r="H63" s="207">
        <f t="shared" si="26"/>
        <v>586.08000000000004</v>
      </c>
      <c r="I63" s="207">
        <f t="shared" ref="I63" si="28">IF(I129=1,I61,IF(I129=2,I61*0.7,IF(I129=3,I61*0.7,I61)))</f>
        <v>586.08000000000004</v>
      </c>
      <c r="J63" s="207">
        <f t="shared" si="26"/>
        <v>586.08000000000004</v>
      </c>
      <c r="K63" s="207">
        <f t="shared" si="26"/>
        <v>586.08000000000004</v>
      </c>
      <c r="L63" s="223">
        <f>L61</f>
        <v>410.25600000000003</v>
      </c>
      <c r="M63" s="223">
        <f t="shared" ref="M63:P63" si="29">M61</f>
        <v>586.08000000000004</v>
      </c>
      <c r="N63" s="223">
        <f t="shared" ref="N63" si="30">N61</f>
        <v>586.08000000000004</v>
      </c>
      <c r="O63" s="223">
        <f t="shared" si="29"/>
        <v>586.08000000000004</v>
      </c>
      <c r="P63" s="223">
        <f t="shared" si="29"/>
        <v>586.08000000000004</v>
      </c>
      <c r="Q63" s="208">
        <f>IF(Q128=1,Q61,510.95)</f>
        <v>586.08000000000004</v>
      </c>
      <c r="R63" s="208">
        <f>IF(R128=1,R61,510.95)</f>
        <v>586.08000000000004</v>
      </c>
      <c r="S63" s="208">
        <f>IF(S128=1,S61,510.95)</f>
        <v>586.08000000000004</v>
      </c>
      <c r="T63" s="208">
        <f>IF(T128=1,T61,510.95)</f>
        <v>586.08000000000004</v>
      </c>
      <c r="U63" s="208">
        <f>IF(U128=1,U61,510.95)</f>
        <v>586.08000000000004</v>
      </c>
    </row>
    <row r="64" spans="1:24">
      <c r="A64" s="218" t="s">
        <v>106</v>
      </c>
      <c r="D64" s="222">
        <f t="shared" ref="D64:P64" si="31">MIN(MAX(D149,D63),D60)</f>
        <v>916.66666666666663</v>
      </c>
      <c r="E64" s="222">
        <f t="shared" ref="E64" si="32">MIN(MAX(E149,E63),E60)</f>
        <v>916.66666666666663</v>
      </c>
      <c r="F64" s="222">
        <f t="shared" si="31"/>
        <v>916.66666666666663</v>
      </c>
      <c r="G64" s="222">
        <f t="shared" si="31"/>
        <v>916.66666666666663</v>
      </c>
      <c r="H64" s="222">
        <f t="shared" si="31"/>
        <v>1000</v>
      </c>
      <c r="I64" s="222">
        <f t="shared" ref="I64" si="33">MIN(MAX(I149,I63),I60)</f>
        <v>1000</v>
      </c>
      <c r="J64" s="222">
        <f t="shared" si="31"/>
        <v>1000</v>
      </c>
      <c r="K64" s="222">
        <f t="shared" si="31"/>
        <v>1000</v>
      </c>
      <c r="L64" s="222">
        <f t="shared" si="31"/>
        <v>916.66666666666663</v>
      </c>
      <c r="M64" s="222">
        <f t="shared" ca="1" si="31"/>
        <v>823.85900000000004</v>
      </c>
      <c r="N64" s="222">
        <f t="shared" ref="N64" ca="1" si="34">MIN(MAX(N149,N63),N60)</f>
        <v>810.50399999999991</v>
      </c>
      <c r="O64" s="222">
        <f t="shared" si="31"/>
        <v>848.32000000000016</v>
      </c>
      <c r="P64" s="222">
        <f t="shared" si="31"/>
        <v>848.32000000000016</v>
      </c>
      <c r="Q64" s="220">
        <f ca="1">MIN(Q149,Q60)</f>
        <v>799.61599999999999</v>
      </c>
      <c r="R64" s="220">
        <f ca="1">MIN(R149,R60)</f>
        <v>799.61599999999999</v>
      </c>
      <c r="S64" s="220">
        <f>MIN(S149,S60)</f>
        <v>822.63900000000001</v>
      </c>
      <c r="T64" s="220">
        <f>MIN(T149,T60)</f>
        <v>822.63900000000001</v>
      </c>
      <c r="U64" s="220">
        <f ca="1">MIN(U149,U60)</f>
        <v>821.49000000000012</v>
      </c>
    </row>
    <row r="65" spans="1:55" ht="12.75" thickBot="1">
      <c r="A65" s="210" t="s">
        <v>89</v>
      </c>
      <c r="D65" s="209">
        <f t="shared" ref="D65:E65" si="35">D64</f>
        <v>916.66666666666663</v>
      </c>
      <c r="E65" s="209">
        <f t="shared" si="35"/>
        <v>916.66666666666663</v>
      </c>
      <c r="F65" s="219">
        <f t="shared" ref="F65:P65" si="36">MIN(F149,F60)</f>
        <v>916.66666666666663</v>
      </c>
      <c r="G65" s="219">
        <f t="shared" si="36"/>
        <v>916.66666666666663</v>
      </c>
      <c r="H65" s="219">
        <f t="shared" si="36"/>
        <v>1000</v>
      </c>
      <c r="I65" s="219">
        <f t="shared" ref="I65" si="37">MIN(I149,I60)</f>
        <v>1000</v>
      </c>
      <c r="J65" s="219">
        <f t="shared" si="36"/>
        <v>1000</v>
      </c>
      <c r="K65" s="219">
        <f t="shared" si="36"/>
        <v>1000</v>
      </c>
      <c r="L65" s="219">
        <f t="shared" si="36"/>
        <v>916.66666666666663</v>
      </c>
      <c r="M65" s="219">
        <f t="shared" ca="1" si="36"/>
        <v>823.85900000000004</v>
      </c>
      <c r="N65" s="219">
        <f t="shared" ref="N65" ca="1" si="38">MIN(N149,N60)</f>
        <v>810.50399999999991</v>
      </c>
      <c r="O65" s="219">
        <f t="shared" si="36"/>
        <v>848.32000000000016</v>
      </c>
      <c r="P65" s="219">
        <f t="shared" si="36"/>
        <v>848.32000000000016</v>
      </c>
      <c r="Q65" s="209">
        <f ca="1">Q64</f>
        <v>799.61599999999999</v>
      </c>
      <c r="R65" s="209">
        <f t="shared" ref="R65:U65" ca="1" si="39">R64</f>
        <v>799.61599999999999</v>
      </c>
      <c r="S65" s="209">
        <f t="shared" si="39"/>
        <v>822.63900000000001</v>
      </c>
      <c r="T65" s="209">
        <f t="shared" ref="T65" si="40">T64</f>
        <v>822.63900000000001</v>
      </c>
      <c r="U65" s="209">
        <f t="shared" ca="1" si="39"/>
        <v>821.49000000000012</v>
      </c>
    </row>
    <row r="66" spans="1:55">
      <c r="A66" s="250" t="s">
        <v>92</v>
      </c>
      <c r="D66" s="253">
        <f>IF($B$1&gt;0,0.0000017,0)</f>
        <v>0</v>
      </c>
      <c r="E66" s="253">
        <f>D66-IF($B$1&gt;0,0.00000001,0)</f>
        <v>0</v>
      </c>
      <c r="F66" s="253">
        <f t="shared" ref="F66:U66" si="41">E66-IF($B$1&gt;0,0.00000001,0)</f>
        <v>0</v>
      </c>
      <c r="G66" s="253">
        <f t="shared" si="41"/>
        <v>0</v>
      </c>
      <c r="H66" s="253">
        <f t="shared" si="41"/>
        <v>0</v>
      </c>
      <c r="I66" s="253">
        <f t="shared" si="41"/>
        <v>0</v>
      </c>
      <c r="J66" s="253">
        <f t="shared" si="41"/>
        <v>0</v>
      </c>
      <c r="K66" s="253">
        <f t="shared" si="41"/>
        <v>0</v>
      </c>
      <c r="L66" s="253">
        <f t="shared" si="41"/>
        <v>0</v>
      </c>
      <c r="M66" s="253">
        <f t="shared" si="41"/>
        <v>0</v>
      </c>
      <c r="N66" s="253">
        <f t="shared" si="41"/>
        <v>0</v>
      </c>
      <c r="O66" s="253">
        <f t="shared" si="41"/>
        <v>0</v>
      </c>
      <c r="P66" s="253">
        <f t="shared" si="41"/>
        <v>0</v>
      </c>
      <c r="Q66" s="253">
        <f t="shared" si="41"/>
        <v>0</v>
      </c>
      <c r="R66" s="253">
        <f t="shared" si="41"/>
        <v>0</v>
      </c>
      <c r="S66" s="253">
        <f t="shared" si="41"/>
        <v>0</v>
      </c>
      <c r="T66" s="253">
        <f t="shared" si="41"/>
        <v>0</v>
      </c>
      <c r="U66" s="253">
        <f t="shared" si="41"/>
        <v>0</v>
      </c>
    </row>
    <row r="67" spans="1:55">
      <c r="A67" s="250" t="s">
        <v>92</v>
      </c>
      <c r="D67" s="252">
        <v>1</v>
      </c>
      <c r="E67" s="252">
        <v>2</v>
      </c>
      <c r="F67" s="252">
        <v>3</v>
      </c>
      <c r="G67" s="252">
        <v>4</v>
      </c>
      <c r="H67" s="252">
        <v>5</v>
      </c>
      <c r="I67" s="252">
        <v>6</v>
      </c>
      <c r="J67" s="252">
        <v>7</v>
      </c>
      <c r="K67" s="252">
        <v>8</v>
      </c>
      <c r="L67" s="252">
        <v>9</v>
      </c>
      <c r="M67" s="252">
        <v>10</v>
      </c>
      <c r="N67" s="252">
        <v>11</v>
      </c>
      <c r="O67" s="252">
        <v>12</v>
      </c>
      <c r="P67" s="252">
        <v>13</v>
      </c>
      <c r="Q67" s="252">
        <v>14</v>
      </c>
      <c r="R67" s="252">
        <v>15</v>
      </c>
      <c r="S67" s="252">
        <v>16</v>
      </c>
      <c r="T67" s="252">
        <v>17</v>
      </c>
      <c r="U67" s="252">
        <v>18</v>
      </c>
    </row>
    <row r="68" spans="1:55">
      <c r="A68" s="229" t="s">
        <v>92</v>
      </c>
      <c r="C68" s="211"/>
      <c r="D68" s="229"/>
      <c r="E68" s="229"/>
      <c r="F68" s="229"/>
      <c r="G68" s="229"/>
      <c r="H68" s="229"/>
      <c r="I68" s="229"/>
      <c r="J68" s="229"/>
      <c r="K68" s="229"/>
      <c r="L68" s="247">
        <f>IF(AND(OR(SUM(D138:K138)&gt;0,L138=0),$B$1&gt;0),L60/10,L61)</f>
        <v>410.25600000000003</v>
      </c>
      <c r="M68" s="229" t="str">
        <f>IF(AND(MAX($D138+$E138+$I138+$F138+$G138+$L138+$H138+$J138+$K138)&gt;0,$B$1&gt;0),"xoris elax. vash","")</f>
        <v/>
      </c>
      <c r="N68" s="229" t="str">
        <f>IF(AND(MAX($D138+$E138+$I138+$F138+$G138+$L138+$H138+$J138+$K138)&gt;0,$B$1&gt;0),"xoris elax. vash","")</f>
        <v/>
      </c>
      <c r="O68" s="229" t="str">
        <f t="shared" ref="O68:P68" si="42">IF(AND(MAX($D138+$E138+$I138+$F138+$G138+$L138+$H138+$J138+$K138)&gt;0,$B$1&gt;0),"xoris elax. vash","")</f>
        <v/>
      </c>
      <c r="P68" s="229" t="str">
        <f t="shared" si="42"/>
        <v/>
      </c>
      <c r="Q68" s="229"/>
      <c r="R68" s="229"/>
      <c r="S68" s="229"/>
      <c r="T68" s="229"/>
      <c r="U68" s="229"/>
    </row>
    <row r="69" spans="1:55" s="125" customFormat="1">
      <c r="A69" s="224" t="s">
        <v>95</v>
      </c>
      <c r="B69" s="4"/>
      <c r="C69" s="355">
        <v>1</v>
      </c>
      <c r="D69" s="225">
        <f t="shared" ref="D69:M78" ca="1" si="43">IF(D$149=LARGE($D$149:$U$149,$C69),D$149,0)/D$131</f>
        <v>0</v>
      </c>
      <c r="E69" s="225">
        <f t="shared" ca="1" si="43"/>
        <v>0</v>
      </c>
      <c r="F69" s="225">
        <f t="shared" ca="1" si="43"/>
        <v>0</v>
      </c>
      <c r="G69" s="225">
        <f t="shared" ca="1" si="43"/>
        <v>0</v>
      </c>
      <c r="H69" s="225">
        <f t="shared" ca="1" si="43"/>
        <v>1000</v>
      </c>
      <c r="I69" s="225">
        <f t="shared" ca="1" si="43"/>
        <v>1000</v>
      </c>
      <c r="J69" s="225">
        <f t="shared" ca="1" si="43"/>
        <v>1000</v>
      </c>
      <c r="K69" s="225">
        <f t="shared" ca="1" si="43"/>
        <v>1000</v>
      </c>
      <c r="L69" s="225">
        <f t="shared" ca="1" si="43"/>
        <v>0</v>
      </c>
      <c r="M69" s="225">
        <f t="shared" ca="1" si="43"/>
        <v>0</v>
      </c>
      <c r="N69" s="225">
        <f t="shared" ref="N69:U78" ca="1" si="44">IF(N$149=LARGE($D$149:$U$149,$C69),N$149,0)/N$131</f>
        <v>0</v>
      </c>
      <c r="O69" s="225">
        <f t="shared" ca="1" si="44"/>
        <v>0</v>
      </c>
      <c r="P69" s="225">
        <f t="shared" ca="1" si="44"/>
        <v>0</v>
      </c>
      <c r="Q69" s="225">
        <f t="shared" ca="1" si="44"/>
        <v>0</v>
      </c>
      <c r="R69" s="225">
        <f t="shared" ca="1" si="44"/>
        <v>0</v>
      </c>
      <c r="S69" s="225">
        <f t="shared" ca="1" si="44"/>
        <v>0</v>
      </c>
      <c r="T69" s="225">
        <f t="shared" ca="1" si="44"/>
        <v>0</v>
      </c>
      <c r="U69" s="225">
        <f t="shared" ca="1" si="44"/>
        <v>0</v>
      </c>
      <c r="V69" s="5"/>
      <c r="W69" s="5"/>
      <c r="X69" s="177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</row>
    <row r="70" spans="1:55" s="147" customFormat="1">
      <c r="A70" s="224" t="s">
        <v>96</v>
      </c>
      <c r="C70" s="355">
        <v>2</v>
      </c>
      <c r="D70" s="225">
        <f t="shared" ca="1" si="43"/>
        <v>0</v>
      </c>
      <c r="E70" s="225">
        <f t="shared" ca="1" si="43"/>
        <v>0</v>
      </c>
      <c r="F70" s="225">
        <f t="shared" ca="1" si="43"/>
        <v>0</v>
      </c>
      <c r="G70" s="225">
        <f t="shared" ca="1" si="43"/>
        <v>0</v>
      </c>
      <c r="H70" s="225">
        <f t="shared" ca="1" si="43"/>
        <v>1000</v>
      </c>
      <c r="I70" s="225">
        <f t="shared" ca="1" si="43"/>
        <v>1000</v>
      </c>
      <c r="J70" s="225">
        <f t="shared" ca="1" si="43"/>
        <v>1000</v>
      </c>
      <c r="K70" s="225">
        <f t="shared" ca="1" si="43"/>
        <v>1000</v>
      </c>
      <c r="L70" s="225">
        <f t="shared" ca="1" si="43"/>
        <v>0</v>
      </c>
      <c r="M70" s="225">
        <f t="shared" ca="1" si="43"/>
        <v>0</v>
      </c>
      <c r="N70" s="225">
        <f t="shared" ca="1" si="44"/>
        <v>0</v>
      </c>
      <c r="O70" s="225">
        <f t="shared" ca="1" si="44"/>
        <v>0</v>
      </c>
      <c r="P70" s="225">
        <f t="shared" ca="1" si="44"/>
        <v>0</v>
      </c>
      <c r="Q70" s="225">
        <f t="shared" ca="1" si="44"/>
        <v>0</v>
      </c>
      <c r="R70" s="225">
        <f t="shared" ca="1" si="44"/>
        <v>0</v>
      </c>
      <c r="S70" s="225">
        <f t="shared" ca="1" si="44"/>
        <v>0</v>
      </c>
      <c r="T70" s="225">
        <f t="shared" ca="1" si="44"/>
        <v>0</v>
      </c>
      <c r="U70" s="225">
        <f t="shared" ca="1" si="44"/>
        <v>0</v>
      </c>
      <c r="V70" s="196"/>
      <c r="W70" s="196"/>
      <c r="X70" s="198"/>
      <c r="Y70" s="197"/>
      <c r="Z70" s="197"/>
      <c r="AA70" s="197"/>
      <c r="AB70" s="197"/>
      <c r="AC70" s="197"/>
      <c r="AD70" s="197"/>
      <c r="AE70" s="197"/>
      <c r="AF70" s="197"/>
      <c r="AG70" s="197"/>
      <c r="AH70" s="197"/>
      <c r="AI70" s="197"/>
      <c r="AJ70" s="197"/>
      <c r="AK70" s="197"/>
      <c r="AL70" s="197"/>
      <c r="AM70" s="197"/>
      <c r="AN70" s="197"/>
      <c r="AO70" s="197"/>
      <c r="AP70" s="197"/>
      <c r="AQ70" s="197"/>
      <c r="AR70" s="197"/>
      <c r="AS70" s="197"/>
      <c r="AT70" s="197"/>
      <c r="AU70" s="197"/>
      <c r="AV70" s="197"/>
      <c r="AW70" s="197"/>
      <c r="AX70" s="197"/>
      <c r="AY70" s="197"/>
      <c r="AZ70" s="197"/>
      <c r="BA70" s="197"/>
      <c r="BB70" s="197"/>
      <c r="BC70" s="197"/>
    </row>
    <row r="71" spans="1:55" s="147" customFormat="1">
      <c r="A71" s="224" t="s">
        <v>97</v>
      </c>
      <c r="C71" s="355">
        <v>3</v>
      </c>
      <c r="D71" s="225">
        <f t="shared" ca="1" si="43"/>
        <v>0</v>
      </c>
      <c r="E71" s="225">
        <f t="shared" ca="1" si="43"/>
        <v>0</v>
      </c>
      <c r="F71" s="225">
        <f t="shared" ca="1" si="43"/>
        <v>0</v>
      </c>
      <c r="G71" s="225">
        <f t="shared" ca="1" si="43"/>
        <v>0</v>
      </c>
      <c r="H71" s="225">
        <f t="shared" ca="1" si="43"/>
        <v>1000</v>
      </c>
      <c r="I71" s="225">
        <f t="shared" ca="1" si="43"/>
        <v>1000</v>
      </c>
      <c r="J71" s="225">
        <f t="shared" ca="1" si="43"/>
        <v>1000</v>
      </c>
      <c r="K71" s="225">
        <f t="shared" ca="1" si="43"/>
        <v>1000</v>
      </c>
      <c r="L71" s="225">
        <f t="shared" ca="1" si="43"/>
        <v>0</v>
      </c>
      <c r="M71" s="225">
        <f t="shared" ca="1" si="43"/>
        <v>0</v>
      </c>
      <c r="N71" s="225">
        <f t="shared" ca="1" si="44"/>
        <v>0</v>
      </c>
      <c r="O71" s="225">
        <f t="shared" ca="1" si="44"/>
        <v>0</v>
      </c>
      <c r="P71" s="225">
        <f t="shared" ca="1" si="44"/>
        <v>0</v>
      </c>
      <c r="Q71" s="225">
        <f t="shared" ca="1" si="44"/>
        <v>0</v>
      </c>
      <c r="R71" s="225">
        <f t="shared" ca="1" si="44"/>
        <v>0</v>
      </c>
      <c r="S71" s="225">
        <f t="shared" ca="1" si="44"/>
        <v>0</v>
      </c>
      <c r="T71" s="225">
        <f t="shared" ca="1" si="44"/>
        <v>0</v>
      </c>
      <c r="U71" s="225">
        <f t="shared" ca="1" si="44"/>
        <v>0</v>
      </c>
      <c r="V71" s="196"/>
      <c r="W71" s="196"/>
      <c r="X71" s="198"/>
      <c r="Y71" s="197"/>
      <c r="Z71" s="197"/>
      <c r="AA71" s="197"/>
      <c r="AB71" s="197"/>
      <c r="AC71" s="197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</row>
    <row r="72" spans="1:55" s="147" customFormat="1">
      <c r="A72" s="224" t="s">
        <v>98</v>
      </c>
      <c r="C72" s="355">
        <v>4</v>
      </c>
      <c r="D72" s="225">
        <f t="shared" ca="1" si="43"/>
        <v>0</v>
      </c>
      <c r="E72" s="225">
        <f t="shared" ca="1" si="43"/>
        <v>0</v>
      </c>
      <c r="F72" s="225">
        <f t="shared" ca="1" si="43"/>
        <v>0</v>
      </c>
      <c r="G72" s="225">
        <f t="shared" ca="1" si="43"/>
        <v>0</v>
      </c>
      <c r="H72" s="225">
        <f t="shared" ca="1" si="43"/>
        <v>1000</v>
      </c>
      <c r="I72" s="225">
        <f t="shared" ca="1" si="43"/>
        <v>1000</v>
      </c>
      <c r="J72" s="225">
        <f t="shared" ca="1" si="43"/>
        <v>1000</v>
      </c>
      <c r="K72" s="225">
        <f t="shared" ca="1" si="43"/>
        <v>1000</v>
      </c>
      <c r="L72" s="225">
        <f t="shared" ca="1" si="43"/>
        <v>0</v>
      </c>
      <c r="M72" s="225">
        <f t="shared" ca="1" si="43"/>
        <v>0</v>
      </c>
      <c r="N72" s="225">
        <f t="shared" ca="1" si="44"/>
        <v>0</v>
      </c>
      <c r="O72" s="225">
        <f t="shared" ca="1" si="44"/>
        <v>0</v>
      </c>
      <c r="P72" s="225">
        <f t="shared" ca="1" si="44"/>
        <v>0</v>
      </c>
      <c r="Q72" s="225">
        <f t="shared" ca="1" si="44"/>
        <v>0</v>
      </c>
      <c r="R72" s="225">
        <f t="shared" ca="1" si="44"/>
        <v>0</v>
      </c>
      <c r="S72" s="225">
        <f t="shared" ca="1" si="44"/>
        <v>0</v>
      </c>
      <c r="T72" s="225">
        <f t="shared" ca="1" si="44"/>
        <v>0</v>
      </c>
      <c r="U72" s="225">
        <f t="shared" ca="1" si="44"/>
        <v>0</v>
      </c>
      <c r="V72" s="196"/>
      <c r="W72" s="196"/>
      <c r="X72" s="198"/>
      <c r="Y72" s="197"/>
      <c r="Z72" s="197"/>
      <c r="AA72" s="197"/>
      <c r="AB72" s="197"/>
      <c r="AC72" s="197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  <c r="AO72" s="197"/>
      <c r="AP72" s="197"/>
      <c r="AQ72" s="197"/>
      <c r="AR72" s="197"/>
      <c r="AS72" s="197"/>
      <c r="AT72" s="197"/>
      <c r="AU72" s="197"/>
      <c r="AV72" s="197"/>
      <c r="AW72" s="197"/>
      <c r="AX72" s="197"/>
      <c r="AY72" s="197"/>
      <c r="AZ72" s="197"/>
      <c r="BA72" s="197"/>
      <c r="BB72" s="197"/>
      <c r="BC72" s="197"/>
    </row>
    <row r="73" spans="1:55" s="147" customFormat="1">
      <c r="A73" s="224" t="s">
        <v>99</v>
      </c>
      <c r="C73" s="355">
        <v>5</v>
      </c>
      <c r="D73" s="225">
        <f t="shared" ca="1" si="43"/>
        <v>916.66666666666663</v>
      </c>
      <c r="E73" s="225">
        <f t="shared" ca="1" si="43"/>
        <v>916.66666666666663</v>
      </c>
      <c r="F73" s="225">
        <f t="shared" ca="1" si="43"/>
        <v>916.66666666666663</v>
      </c>
      <c r="G73" s="225">
        <f t="shared" ca="1" si="43"/>
        <v>916.66666666666663</v>
      </c>
      <c r="H73" s="225">
        <f t="shared" ca="1" si="43"/>
        <v>0</v>
      </c>
      <c r="I73" s="225">
        <f t="shared" ca="1" si="43"/>
        <v>0</v>
      </c>
      <c r="J73" s="225">
        <f t="shared" ca="1" si="43"/>
        <v>0</v>
      </c>
      <c r="K73" s="225">
        <f t="shared" ca="1" si="43"/>
        <v>0</v>
      </c>
      <c r="L73" s="225">
        <f t="shared" ca="1" si="43"/>
        <v>916.66666666666663</v>
      </c>
      <c r="M73" s="225">
        <f t="shared" ca="1" si="43"/>
        <v>0</v>
      </c>
      <c r="N73" s="225">
        <f t="shared" ca="1" si="44"/>
        <v>0</v>
      </c>
      <c r="O73" s="225">
        <f t="shared" ca="1" si="44"/>
        <v>0</v>
      </c>
      <c r="P73" s="225">
        <f t="shared" ca="1" si="44"/>
        <v>0</v>
      </c>
      <c r="Q73" s="225">
        <f t="shared" ca="1" si="44"/>
        <v>0</v>
      </c>
      <c r="R73" s="225">
        <f t="shared" ca="1" si="44"/>
        <v>0</v>
      </c>
      <c r="S73" s="225">
        <f t="shared" ca="1" si="44"/>
        <v>0</v>
      </c>
      <c r="T73" s="225">
        <f t="shared" ca="1" si="44"/>
        <v>0</v>
      </c>
      <c r="U73" s="225">
        <f t="shared" ca="1" si="44"/>
        <v>0</v>
      </c>
      <c r="V73" s="196"/>
      <c r="W73" s="196"/>
      <c r="X73" s="198"/>
      <c r="Y73" s="197"/>
      <c r="Z73" s="197"/>
      <c r="AA73" s="197"/>
      <c r="AB73" s="197"/>
      <c r="AC73" s="197"/>
      <c r="AD73" s="197"/>
      <c r="AE73" s="197"/>
      <c r="AF73" s="197"/>
      <c r="AG73" s="197"/>
      <c r="AH73" s="197"/>
      <c r="AI73" s="197"/>
      <c r="AJ73" s="197"/>
      <c r="AK73" s="197"/>
      <c r="AL73" s="197"/>
      <c r="AM73" s="197"/>
      <c r="AN73" s="197"/>
      <c r="AO73" s="197"/>
      <c r="AP73" s="197"/>
      <c r="AQ73" s="197"/>
      <c r="AR73" s="197"/>
      <c r="AS73" s="197"/>
      <c r="AT73" s="197"/>
      <c r="AU73" s="197"/>
      <c r="AV73" s="197"/>
      <c r="AW73" s="197"/>
      <c r="AX73" s="197"/>
      <c r="AY73" s="197"/>
      <c r="AZ73" s="197"/>
      <c r="BA73" s="197"/>
      <c r="BB73" s="197"/>
      <c r="BC73" s="197"/>
    </row>
    <row r="74" spans="1:55" s="147" customFormat="1">
      <c r="A74" s="224" t="s">
        <v>100</v>
      </c>
      <c r="C74" s="355">
        <v>6</v>
      </c>
      <c r="D74" s="225">
        <f t="shared" ca="1" si="43"/>
        <v>916.66666666666663</v>
      </c>
      <c r="E74" s="225">
        <f t="shared" ca="1" si="43"/>
        <v>916.66666666666663</v>
      </c>
      <c r="F74" s="225">
        <f t="shared" ca="1" si="43"/>
        <v>916.66666666666663</v>
      </c>
      <c r="G74" s="225">
        <f t="shared" ca="1" si="43"/>
        <v>916.66666666666663</v>
      </c>
      <c r="H74" s="225">
        <f t="shared" ca="1" si="43"/>
        <v>0</v>
      </c>
      <c r="I74" s="225">
        <f t="shared" ca="1" si="43"/>
        <v>0</v>
      </c>
      <c r="J74" s="225">
        <f t="shared" ca="1" si="43"/>
        <v>0</v>
      </c>
      <c r="K74" s="225">
        <f t="shared" ca="1" si="43"/>
        <v>0</v>
      </c>
      <c r="L74" s="225">
        <f t="shared" ca="1" si="43"/>
        <v>916.66666666666663</v>
      </c>
      <c r="M74" s="225">
        <f t="shared" ca="1" si="43"/>
        <v>0</v>
      </c>
      <c r="N74" s="225">
        <f t="shared" ca="1" si="44"/>
        <v>0</v>
      </c>
      <c r="O74" s="225">
        <f t="shared" ca="1" si="44"/>
        <v>0</v>
      </c>
      <c r="P74" s="225">
        <f t="shared" ca="1" si="44"/>
        <v>0</v>
      </c>
      <c r="Q74" s="225">
        <f t="shared" ca="1" si="44"/>
        <v>0</v>
      </c>
      <c r="R74" s="225">
        <f t="shared" ca="1" si="44"/>
        <v>0</v>
      </c>
      <c r="S74" s="225">
        <f t="shared" ca="1" si="44"/>
        <v>0</v>
      </c>
      <c r="T74" s="225">
        <f t="shared" ca="1" si="44"/>
        <v>0</v>
      </c>
      <c r="U74" s="225">
        <f t="shared" ca="1" si="44"/>
        <v>0</v>
      </c>
      <c r="V74" s="196"/>
      <c r="W74" s="196"/>
      <c r="X74" s="198"/>
      <c r="Y74" s="197"/>
      <c r="Z74" s="197"/>
      <c r="AA74" s="197"/>
      <c r="AB74" s="197"/>
      <c r="AC74" s="197"/>
      <c r="AD74" s="197"/>
      <c r="AE74" s="197"/>
      <c r="AF74" s="197"/>
      <c r="AG74" s="197"/>
      <c r="AH74" s="197"/>
      <c r="AI74" s="197"/>
      <c r="AJ74" s="197"/>
      <c r="AK74" s="197"/>
      <c r="AL74" s="197"/>
      <c r="AM74" s="197"/>
      <c r="AN74" s="197"/>
      <c r="AO74" s="197"/>
      <c r="AP74" s="197"/>
      <c r="AQ74" s="197"/>
      <c r="AR74" s="197"/>
      <c r="AS74" s="197"/>
      <c r="AT74" s="197"/>
      <c r="AU74" s="197"/>
      <c r="AV74" s="197"/>
      <c r="AW74" s="197"/>
      <c r="AX74" s="197"/>
      <c r="AY74" s="197"/>
      <c r="AZ74" s="197"/>
      <c r="BA74" s="197"/>
      <c r="BB74" s="197"/>
      <c r="BC74" s="197"/>
    </row>
    <row r="75" spans="1:55" s="147" customFormat="1">
      <c r="A75" s="224" t="s">
        <v>101</v>
      </c>
      <c r="C75" s="355">
        <v>7</v>
      </c>
      <c r="D75" s="225">
        <f t="shared" ca="1" si="43"/>
        <v>916.66666666666663</v>
      </c>
      <c r="E75" s="225">
        <f t="shared" ca="1" si="43"/>
        <v>916.66666666666663</v>
      </c>
      <c r="F75" s="225">
        <f t="shared" ca="1" si="43"/>
        <v>916.66666666666663</v>
      </c>
      <c r="G75" s="225">
        <f t="shared" ca="1" si="43"/>
        <v>916.66666666666663</v>
      </c>
      <c r="H75" s="225">
        <f t="shared" ca="1" si="43"/>
        <v>0</v>
      </c>
      <c r="I75" s="225">
        <f t="shared" ca="1" si="43"/>
        <v>0</v>
      </c>
      <c r="J75" s="225">
        <f t="shared" ca="1" si="43"/>
        <v>0</v>
      </c>
      <c r="K75" s="225">
        <f t="shared" ca="1" si="43"/>
        <v>0</v>
      </c>
      <c r="L75" s="225">
        <f t="shared" ca="1" si="43"/>
        <v>916.66666666666663</v>
      </c>
      <c r="M75" s="225">
        <f t="shared" ca="1" si="43"/>
        <v>0</v>
      </c>
      <c r="N75" s="225">
        <f t="shared" ca="1" si="44"/>
        <v>0</v>
      </c>
      <c r="O75" s="225">
        <f t="shared" ca="1" si="44"/>
        <v>0</v>
      </c>
      <c r="P75" s="225">
        <f t="shared" ca="1" si="44"/>
        <v>0</v>
      </c>
      <c r="Q75" s="225">
        <f t="shared" ca="1" si="44"/>
        <v>0</v>
      </c>
      <c r="R75" s="225">
        <f t="shared" ca="1" si="44"/>
        <v>0</v>
      </c>
      <c r="S75" s="225">
        <f t="shared" ca="1" si="44"/>
        <v>0</v>
      </c>
      <c r="T75" s="225">
        <f t="shared" ca="1" si="44"/>
        <v>0</v>
      </c>
      <c r="U75" s="225">
        <f t="shared" ca="1" si="44"/>
        <v>0</v>
      </c>
      <c r="V75" s="196"/>
      <c r="W75" s="196"/>
      <c r="X75" s="198"/>
      <c r="Y75" s="197"/>
      <c r="Z75" s="197"/>
      <c r="AA75" s="197"/>
      <c r="AB75" s="197"/>
      <c r="AC75" s="197"/>
      <c r="AD75" s="197"/>
      <c r="AE75" s="197"/>
      <c r="AF75" s="197"/>
      <c r="AG75" s="197"/>
      <c r="AH75" s="197"/>
      <c r="AI75" s="197"/>
      <c r="AJ75" s="197"/>
      <c r="AK75" s="197"/>
      <c r="AL75" s="197"/>
      <c r="AM75" s="197"/>
      <c r="AN75" s="197"/>
      <c r="AO75" s="197"/>
      <c r="AP75" s="197"/>
      <c r="AQ75" s="197"/>
      <c r="AR75" s="197"/>
      <c r="AS75" s="197"/>
      <c r="AT75" s="197"/>
      <c r="AU75" s="197"/>
      <c r="AV75" s="197"/>
      <c r="AW75" s="197"/>
      <c r="AX75" s="197"/>
      <c r="AY75" s="197"/>
      <c r="AZ75" s="197"/>
      <c r="BA75" s="197"/>
      <c r="BB75" s="197"/>
      <c r="BC75" s="197"/>
    </row>
    <row r="76" spans="1:55" s="147" customFormat="1">
      <c r="A76" s="224" t="s">
        <v>112</v>
      </c>
      <c r="C76" s="355">
        <v>8</v>
      </c>
      <c r="D76" s="225">
        <f t="shared" ca="1" si="43"/>
        <v>916.66666666666663</v>
      </c>
      <c r="E76" s="225">
        <f t="shared" ca="1" si="43"/>
        <v>916.66666666666663</v>
      </c>
      <c r="F76" s="225">
        <f t="shared" ca="1" si="43"/>
        <v>916.66666666666663</v>
      </c>
      <c r="G76" s="225">
        <f t="shared" ca="1" si="43"/>
        <v>916.66666666666663</v>
      </c>
      <c r="H76" s="225">
        <f t="shared" ca="1" si="43"/>
        <v>0</v>
      </c>
      <c r="I76" s="225">
        <f t="shared" ca="1" si="43"/>
        <v>0</v>
      </c>
      <c r="J76" s="225">
        <f t="shared" ca="1" si="43"/>
        <v>0</v>
      </c>
      <c r="K76" s="225">
        <f t="shared" ca="1" si="43"/>
        <v>0</v>
      </c>
      <c r="L76" s="225">
        <f t="shared" ca="1" si="43"/>
        <v>916.66666666666663</v>
      </c>
      <c r="M76" s="225">
        <f t="shared" ca="1" si="43"/>
        <v>0</v>
      </c>
      <c r="N76" s="225">
        <f t="shared" ca="1" si="44"/>
        <v>0</v>
      </c>
      <c r="O76" s="225">
        <f t="shared" ca="1" si="44"/>
        <v>0</v>
      </c>
      <c r="P76" s="225">
        <f t="shared" ca="1" si="44"/>
        <v>0</v>
      </c>
      <c r="Q76" s="225">
        <f t="shared" ca="1" si="44"/>
        <v>0</v>
      </c>
      <c r="R76" s="225">
        <f t="shared" ca="1" si="44"/>
        <v>0</v>
      </c>
      <c r="S76" s="225">
        <f t="shared" ca="1" si="44"/>
        <v>0</v>
      </c>
      <c r="T76" s="225">
        <f t="shared" ca="1" si="44"/>
        <v>0</v>
      </c>
      <c r="U76" s="225">
        <f t="shared" ca="1" si="44"/>
        <v>0</v>
      </c>
      <c r="V76" s="196"/>
      <c r="W76" s="196"/>
      <c r="X76" s="198"/>
      <c r="Y76" s="197"/>
      <c r="Z76" s="197"/>
      <c r="AA76" s="197"/>
      <c r="AB76" s="197"/>
      <c r="AC76" s="197"/>
      <c r="AD76" s="197"/>
      <c r="AE76" s="197"/>
      <c r="AF76" s="197"/>
      <c r="AG76" s="197"/>
      <c r="AH76" s="197"/>
      <c r="AI76" s="197"/>
      <c r="AJ76" s="197"/>
      <c r="AK76" s="197"/>
      <c r="AL76" s="197"/>
      <c r="AM76" s="197"/>
      <c r="AN76" s="197"/>
      <c r="AO76" s="197"/>
      <c r="AP76" s="197"/>
      <c r="AQ76" s="197"/>
      <c r="AR76" s="197"/>
      <c r="AS76" s="197"/>
      <c r="AT76" s="197"/>
      <c r="AU76" s="197"/>
      <c r="AV76" s="197"/>
      <c r="AW76" s="197"/>
      <c r="AX76" s="197"/>
      <c r="AY76" s="197"/>
      <c r="AZ76" s="197"/>
      <c r="BA76" s="197"/>
      <c r="BB76" s="197"/>
      <c r="BC76" s="197"/>
    </row>
    <row r="77" spans="1:55" s="147" customFormat="1">
      <c r="A77" s="224" t="s">
        <v>113</v>
      </c>
      <c r="C77" s="355">
        <v>9</v>
      </c>
      <c r="D77" s="225">
        <f t="shared" ca="1" si="43"/>
        <v>916.66666666666663</v>
      </c>
      <c r="E77" s="225">
        <f t="shared" ca="1" si="43"/>
        <v>916.66666666666663</v>
      </c>
      <c r="F77" s="225">
        <f t="shared" ca="1" si="43"/>
        <v>916.66666666666663</v>
      </c>
      <c r="G77" s="225">
        <f t="shared" ca="1" si="43"/>
        <v>916.66666666666663</v>
      </c>
      <c r="H77" s="225">
        <f t="shared" ca="1" si="43"/>
        <v>0</v>
      </c>
      <c r="I77" s="225">
        <f t="shared" ca="1" si="43"/>
        <v>0</v>
      </c>
      <c r="J77" s="225">
        <f t="shared" ca="1" si="43"/>
        <v>0</v>
      </c>
      <c r="K77" s="225">
        <f t="shared" ca="1" si="43"/>
        <v>0</v>
      </c>
      <c r="L77" s="225">
        <f t="shared" ca="1" si="43"/>
        <v>916.66666666666663</v>
      </c>
      <c r="M77" s="225">
        <f t="shared" ca="1" si="43"/>
        <v>0</v>
      </c>
      <c r="N77" s="225">
        <f t="shared" ca="1" si="44"/>
        <v>0</v>
      </c>
      <c r="O77" s="225">
        <f t="shared" ca="1" si="44"/>
        <v>0</v>
      </c>
      <c r="P77" s="225">
        <f t="shared" ca="1" si="44"/>
        <v>0</v>
      </c>
      <c r="Q77" s="225">
        <f t="shared" ca="1" si="44"/>
        <v>0</v>
      </c>
      <c r="R77" s="225">
        <f t="shared" ca="1" si="44"/>
        <v>0</v>
      </c>
      <c r="S77" s="225">
        <f t="shared" ca="1" si="44"/>
        <v>0</v>
      </c>
      <c r="T77" s="225">
        <f t="shared" ca="1" si="44"/>
        <v>0</v>
      </c>
      <c r="U77" s="225">
        <f t="shared" ca="1" si="44"/>
        <v>0</v>
      </c>
      <c r="V77" s="196"/>
      <c r="W77" s="196"/>
      <c r="X77" s="198"/>
      <c r="Y77" s="197"/>
      <c r="Z77" s="197"/>
      <c r="AA77" s="197"/>
      <c r="AB77" s="197"/>
      <c r="AC77" s="197"/>
      <c r="AD77" s="197"/>
      <c r="AE77" s="197"/>
      <c r="AF77" s="197"/>
      <c r="AG77" s="197"/>
      <c r="AH77" s="197"/>
      <c r="AI77" s="197"/>
      <c r="AJ77" s="197"/>
      <c r="AK77" s="197"/>
      <c r="AL77" s="197"/>
      <c r="AM77" s="197"/>
      <c r="AN77" s="197"/>
      <c r="AO77" s="197"/>
      <c r="AP77" s="197"/>
      <c r="AQ77" s="197"/>
      <c r="AR77" s="197"/>
      <c r="AS77" s="197"/>
      <c r="AT77" s="197"/>
      <c r="AU77" s="197"/>
      <c r="AV77" s="197"/>
      <c r="AW77" s="197"/>
      <c r="AX77" s="197"/>
      <c r="AY77" s="197"/>
      <c r="AZ77" s="197"/>
      <c r="BA77" s="197"/>
      <c r="BB77" s="197"/>
      <c r="BC77" s="197"/>
    </row>
    <row r="78" spans="1:55" s="147" customFormat="1">
      <c r="A78" s="224" t="s">
        <v>114</v>
      </c>
      <c r="C78" s="355">
        <v>10</v>
      </c>
      <c r="D78" s="225">
        <f t="shared" ca="1" si="43"/>
        <v>0</v>
      </c>
      <c r="E78" s="225">
        <f t="shared" ca="1" si="43"/>
        <v>0</v>
      </c>
      <c r="F78" s="225">
        <f t="shared" ca="1" si="43"/>
        <v>0</v>
      </c>
      <c r="G78" s="225">
        <f t="shared" ca="1" si="43"/>
        <v>0</v>
      </c>
      <c r="H78" s="225">
        <f t="shared" ca="1" si="43"/>
        <v>0</v>
      </c>
      <c r="I78" s="225">
        <f t="shared" ca="1" si="43"/>
        <v>0</v>
      </c>
      <c r="J78" s="225">
        <f t="shared" ca="1" si="43"/>
        <v>0</v>
      </c>
      <c r="K78" s="225">
        <f t="shared" ca="1" si="43"/>
        <v>0</v>
      </c>
      <c r="L78" s="225">
        <f t="shared" ca="1" si="43"/>
        <v>0</v>
      </c>
      <c r="M78" s="225">
        <f t="shared" ca="1" si="43"/>
        <v>0</v>
      </c>
      <c r="N78" s="225">
        <f t="shared" ca="1" si="44"/>
        <v>0</v>
      </c>
      <c r="O78" s="225">
        <f t="shared" ca="1" si="44"/>
        <v>848.32000000000016</v>
      </c>
      <c r="P78" s="225">
        <f t="shared" ca="1" si="44"/>
        <v>848.32000000000016</v>
      </c>
      <c r="Q78" s="225">
        <f t="shared" ca="1" si="44"/>
        <v>0</v>
      </c>
      <c r="R78" s="225">
        <f t="shared" ca="1" si="44"/>
        <v>0</v>
      </c>
      <c r="S78" s="225">
        <f t="shared" ca="1" si="44"/>
        <v>0</v>
      </c>
      <c r="T78" s="225">
        <f t="shared" ca="1" si="44"/>
        <v>0</v>
      </c>
      <c r="U78" s="225">
        <f t="shared" ca="1" si="44"/>
        <v>0</v>
      </c>
      <c r="V78" s="196"/>
      <c r="W78" s="196"/>
      <c r="X78" s="198"/>
      <c r="Y78" s="197"/>
      <c r="Z78" s="197"/>
      <c r="AA78" s="197"/>
      <c r="AB78" s="197"/>
      <c r="AC78" s="197"/>
      <c r="AD78" s="197"/>
      <c r="AE78" s="197"/>
      <c r="AF78" s="197"/>
      <c r="AG78" s="197"/>
      <c r="AH78" s="197"/>
      <c r="AI78" s="197"/>
      <c r="AJ78" s="197"/>
      <c r="AK78" s="197"/>
      <c r="AL78" s="197"/>
      <c r="AM78" s="197"/>
      <c r="AN78" s="197"/>
      <c r="AO78" s="197"/>
      <c r="AP78" s="197"/>
      <c r="AQ78" s="197"/>
      <c r="AR78" s="197"/>
      <c r="AS78" s="197"/>
      <c r="AT78" s="197"/>
      <c r="AU78" s="197"/>
      <c r="AV78" s="197"/>
      <c r="AW78" s="197"/>
      <c r="AX78" s="197"/>
      <c r="AY78" s="197"/>
      <c r="AZ78" s="197"/>
      <c r="BA78" s="197"/>
      <c r="BB78" s="197"/>
      <c r="BC78" s="197"/>
    </row>
    <row r="79" spans="1:55" s="147" customFormat="1">
      <c r="A79" s="224" t="s">
        <v>115</v>
      </c>
      <c r="C79" s="355">
        <v>11</v>
      </c>
      <c r="D79" s="225">
        <f t="shared" ref="D79:M86" ca="1" si="45">IF(D$149=LARGE($D$149:$U$149,$C79),D$149,0)/D$131</f>
        <v>0</v>
      </c>
      <c r="E79" s="225">
        <f t="shared" ca="1" si="45"/>
        <v>0</v>
      </c>
      <c r="F79" s="225">
        <f t="shared" ca="1" si="45"/>
        <v>0</v>
      </c>
      <c r="G79" s="225">
        <f t="shared" ca="1" si="45"/>
        <v>0</v>
      </c>
      <c r="H79" s="225">
        <f t="shared" ca="1" si="45"/>
        <v>0</v>
      </c>
      <c r="I79" s="225">
        <f t="shared" ca="1" si="45"/>
        <v>0</v>
      </c>
      <c r="J79" s="225">
        <f t="shared" ca="1" si="45"/>
        <v>0</v>
      </c>
      <c r="K79" s="225">
        <f t="shared" ca="1" si="45"/>
        <v>0</v>
      </c>
      <c r="L79" s="225">
        <f t="shared" ca="1" si="45"/>
        <v>0</v>
      </c>
      <c r="M79" s="225">
        <f t="shared" ca="1" si="45"/>
        <v>0</v>
      </c>
      <c r="N79" s="225">
        <f t="shared" ref="N79:U86" ca="1" si="46">IF(N$149=LARGE($D$149:$U$149,$C79),N$149,0)/N$131</f>
        <v>0</v>
      </c>
      <c r="O79" s="225">
        <f t="shared" ca="1" si="46"/>
        <v>848.32000000000016</v>
      </c>
      <c r="P79" s="225">
        <f t="shared" ca="1" si="46"/>
        <v>848.32000000000016</v>
      </c>
      <c r="Q79" s="225">
        <f t="shared" ca="1" si="46"/>
        <v>0</v>
      </c>
      <c r="R79" s="225">
        <f t="shared" ca="1" si="46"/>
        <v>0</v>
      </c>
      <c r="S79" s="225">
        <f t="shared" ca="1" si="46"/>
        <v>0</v>
      </c>
      <c r="T79" s="225">
        <f t="shared" ca="1" si="46"/>
        <v>0</v>
      </c>
      <c r="U79" s="225">
        <f t="shared" ca="1" si="46"/>
        <v>0</v>
      </c>
      <c r="V79" s="196"/>
      <c r="W79" s="196"/>
      <c r="X79" s="198"/>
      <c r="Y79" s="197"/>
      <c r="Z79" s="197"/>
      <c r="AA79" s="197"/>
      <c r="AB79" s="197"/>
      <c r="AC79" s="197"/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</row>
    <row r="80" spans="1:55" s="147" customFormat="1">
      <c r="A80" s="224" t="s">
        <v>116</v>
      </c>
      <c r="C80" s="355">
        <v>12</v>
      </c>
      <c r="D80" s="225">
        <f t="shared" ca="1" si="45"/>
        <v>0</v>
      </c>
      <c r="E80" s="225">
        <f t="shared" ca="1" si="45"/>
        <v>0</v>
      </c>
      <c r="F80" s="225">
        <f t="shared" ca="1" si="45"/>
        <v>0</v>
      </c>
      <c r="G80" s="225">
        <f t="shared" ca="1" si="45"/>
        <v>0</v>
      </c>
      <c r="H80" s="225">
        <f t="shared" ca="1" si="45"/>
        <v>0</v>
      </c>
      <c r="I80" s="225">
        <f t="shared" ca="1" si="45"/>
        <v>0</v>
      </c>
      <c r="J80" s="225">
        <f t="shared" ca="1" si="45"/>
        <v>0</v>
      </c>
      <c r="K80" s="225">
        <f t="shared" ca="1" si="45"/>
        <v>0</v>
      </c>
      <c r="L80" s="225">
        <f t="shared" ca="1" si="45"/>
        <v>0</v>
      </c>
      <c r="M80" s="225">
        <f t="shared" ca="1" si="45"/>
        <v>823.85900000000004</v>
      </c>
      <c r="N80" s="225">
        <f t="shared" ca="1" si="46"/>
        <v>0</v>
      </c>
      <c r="O80" s="225">
        <f t="shared" ca="1" si="46"/>
        <v>0</v>
      </c>
      <c r="P80" s="225">
        <f t="shared" ca="1" si="46"/>
        <v>0</v>
      </c>
      <c r="Q80" s="225">
        <f t="shared" ca="1" si="46"/>
        <v>0</v>
      </c>
      <c r="R80" s="225">
        <f t="shared" ca="1" si="46"/>
        <v>0</v>
      </c>
      <c r="S80" s="225">
        <f t="shared" ca="1" si="46"/>
        <v>0</v>
      </c>
      <c r="T80" s="225">
        <f t="shared" ca="1" si="46"/>
        <v>0</v>
      </c>
      <c r="U80" s="225">
        <f t="shared" ca="1" si="46"/>
        <v>0</v>
      </c>
      <c r="V80" s="196"/>
      <c r="W80" s="196"/>
      <c r="X80" s="198"/>
      <c r="Y80" s="197"/>
      <c r="Z80" s="197"/>
      <c r="AA80" s="197"/>
      <c r="AB80" s="197"/>
      <c r="AC80" s="197"/>
      <c r="AD80" s="197"/>
      <c r="AE80" s="197"/>
      <c r="AF80" s="197"/>
      <c r="AG80" s="197"/>
      <c r="AH80" s="197"/>
      <c r="AI80" s="197"/>
      <c r="AJ80" s="197"/>
      <c r="AK80" s="197"/>
      <c r="AL80" s="197"/>
      <c r="AM80" s="197"/>
      <c r="AN80" s="197"/>
      <c r="AO80" s="197"/>
      <c r="AP80" s="197"/>
      <c r="AQ80" s="197"/>
      <c r="AR80" s="197"/>
      <c r="AS80" s="197"/>
      <c r="AT80" s="197"/>
      <c r="AU80" s="197"/>
      <c r="AV80" s="197"/>
      <c r="AW80" s="197"/>
      <c r="AX80" s="197"/>
      <c r="AY80" s="197"/>
      <c r="AZ80" s="197"/>
      <c r="BA80" s="197"/>
      <c r="BB80" s="197"/>
      <c r="BC80" s="197"/>
    </row>
    <row r="81" spans="1:55" s="147" customFormat="1">
      <c r="A81" s="224" t="s">
        <v>117</v>
      </c>
      <c r="C81" s="355">
        <v>13</v>
      </c>
      <c r="D81" s="225">
        <f t="shared" ca="1" si="45"/>
        <v>0</v>
      </c>
      <c r="E81" s="225">
        <f t="shared" ca="1" si="45"/>
        <v>0</v>
      </c>
      <c r="F81" s="225">
        <f t="shared" ca="1" si="45"/>
        <v>0</v>
      </c>
      <c r="G81" s="225">
        <f t="shared" ca="1" si="45"/>
        <v>0</v>
      </c>
      <c r="H81" s="225">
        <f t="shared" ca="1" si="45"/>
        <v>0</v>
      </c>
      <c r="I81" s="225">
        <f t="shared" ca="1" si="45"/>
        <v>0</v>
      </c>
      <c r="J81" s="225">
        <f t="shared" ca="1" si="45"/>
        <v>0</v>
      </c>
      <c r="K81" s="225">
        <f t="shared" ca="1" si="45"/>
        <v>0</v>
      </c>
      <c r="L81" s="225">
        <f t="shared" ca="1" si="45"/>
        <v>0</v>
      </c>
      <c r="M81" s="225">
        <f t="shared" ca="1" si="45"/>
        <v>0</v>
      </c>
      <c r="N81" s="225">
        <f t="shared" ca="1" si="46"/>
        <v>0</v>
      </c>
      <c r="O81" s="225">
        <f t="shared" ca="1" si="46"/>
        <v>0</v>
      </c>
      <c r="P81" s="225">
        <f t="shared" ca="1" si="46"/>
        <v>0</v>
      </c>
      <c r="Q81" s="225">
        <f t="shared" ca="1" si="46"/>
        <v>0</v>
      </c>
      <c r="R81" s="225">
        <f t="shared" ca="1" si="46"/>
        <v>0</v>
      </c>
      <c r="S81" s="225">
        <f t="shared" ca="1" si="46"/>
        <v>822.63900000000001</v>
      </c>
      <c r="T81" s="225">
        <f t="shared" ca="1" si="46"/>
        <v>822.63900000000001</v>
      </c>
      <c r="U81" s="225">
        <f t="shared" ca="1" si="46"/>
        <v>0</v>
      </c>
      <c r="V81" s="196"/>
      <c r="W81" s="196"/>
      <c r="X81" s="198"/>
      <c r="Y81" s="197"/>
      <c r="Z81" s="197"/>
      <c r="AA81" s="197"/>
      <c r="AB81" s="197"/>
      <c r="AC81" s="197"/>
      <c r="AD81" s="197"/>
      <c r="AE81" s="197"/>
      <c r="AF81" s="197"/>
      <c r="AG81" s="197"/>
      <c r="AH81" s="197"/>
      <c r="AI81" s="197"/>
      <c r="AJ81" s="197"/>
      <c r="AK81" s="197"/>
      <c r="AL81" s="197"/>
      <c r="AM81" s="197"/>
      <c r="AN81" s="197"/>
      <c r="AO81" s="197"/>
      <c r="AP81" s="197"/>
      <c r="AQ81" s="197"/>
      <c r="AR81" s="197"/>
      <c r="AS81" s="197"/>
      <c r="AT81" s="197"/>
      <c r="AU81" s="197"/>
      <c r="AV81" s="197"/>
      <c r="AW81" s="197"/>
      <c r="AX81" s="197"/>
      <c r="AY81" s="197"/>
      <c r="AZ81" s="197"/>
      <c r="BA81" s="197"/>
      <c r="BB81" s="197"/>
      <c r="BC81" s="197"/>
    </row>
    <row r="82" spans="1:55" s="147" customFormat="1">
      <c r="A82" s="224" t="s">
        <v>118</v>
      </c>
      <c r="C82" s="355">
        <v>14</v>
      </c>
      <c r="D82" s="225">
        <f t="shared" ca="1" si="45"/>
        <v>0</v>
      </c>
      <c r="E82" s="225">
        <f t="shared" ca="1" si="45"/>
        <v>0</v>
      </c>
      <c r="F82" s="225">
        <f t="shared" ca="1" si="45"/>
        <v>0</v>
      </c>
      <c r="G82" s="225">
        <f t="shared" ca="1" si="45"/>
        <v>0</v>
      </c>
      <c r="H82" s="225">
        <f t="shared" ca="1" si="45"/>
        <v>0</v>
      </c>
      <c r="I82" s="225">
        <f t="shared" ca="1" si="45"/>
        <v>0</v>
      </c>
      <c r="J82" s="225">
        <f t="shared" ca="1" si="45"/>
        <v>0</v>
      </c>
      <c r="K82" s="225">
        <f t="shared" ca="1" si="45"/>
        <v>0</v>
      </c>
      <c r="L82" s="225">
        <f t="shared" ca="1" si="45"/>
        <v>0</v>
      </c>
      <c r="M82" s="225">
        <f t="shared" ca="1" si="45"/>
        <v>0</v>
      </c>
      <c r="N82" s="225">
        <f t="shared" ca="1" si="46"/>
        <v>0</v>
      </c>
      <c r="O82" s="225">
        <f t="shared" ca="1" si="46"/>
        <v>0</v>
      </c>
      <c r="P82" s="225">
        <f t="shared" ca="1" si="46"/>
        <v>0</v>
      </c>
      <c r="Q82" s="225">
        <f t="shared" ca="1" si="46"/>
        <v>0</v>
      </c>
      <c r="R82" s="225">
        <f t="shared" ca="1" si="46"/>
        <v>0</v>
      </c>
      <c r="S82" s="225">
        <f t="shared" ca="1" si="46"/>
        <v>822.63900000000001</v>
      </c>
      <c r="T82" s="225">
        <f t="shared" ca="1" si="46"/>
        <v>822.63900000000001</v>
      </c>
      <c r="U82" s="225">
        <f t="shared" ca="1" si="46"/>
        <v>0</v>
      </c>
      <c r="V82" s="196"/>
      <c r="W82" s="196"/>
      <c r="X82" s="198"/>
      <c r="Y82" s="197"/>
      <c r="Z82" s="197"/>
      <c r="AA82" s="197"/>
      <c r="AB82" s="197"/>
      <c r="AC82" s="197"/>
      <c r="AD82" s="197"/>
      <c r="AE82" s="197"/>
      <c r="AF82" s="197"/>
      <c r="AG82" s="197"/>
      <c r="AH82" s="197"/>
      <c r="AI82" s="197"/>
      <c r="AJ82" s="197"/>
      <c r="AK82" s="197"/>
      <c r="AL82" s="197"/>
      <c r="AM82" s="197"/>
      <c r="AN82" s="197"/>
      <c r="AO82" s="197"/>
      <c r="AP82" s="197"/>
      <c r="AQ82" s="197"/>
      <c r="AR82" s="197"/>
      <c r="AS82" s="197"/>
      <c r="AT82" s="197"/>
      <c r="AU82" s="197"/>
      <c r="AV82" s="197"/>
      <c r="AW82" s="197"/>
      <c r="AX82" s="197"/>
      <c r="AY82" s="197"/>
      <c r="AZ82" s="197"/>
      <c r="BA82" s="197"/>
      <c r="BB82" s="197"/>
      <c r="BC82" s="197"/>
    </row>
    <row r="83" spans="1:55" s="147" customFormat="1">
      <c r="A83" s="224" t="s">
        <v>189</v>
      </c>
      <c r="C83" s="355">
        <v>15</v>
      </c>
      <c r="D83" s="225">
        <f t="shared" ca="1" si="45"/>
        <v>0</v>
      </c>
      <c r="E83" s="225">
        <f t="shared" ca="1" si="45"/>
        <v>0</v>
      </c>
      <c r="F83" s="225">
        <f t="shared" ca="1" si="45"/>
        <v>0</v>
      </c>
      <c r="G83" s="225">
        <f t="shared" ca="1" si="45"/>
        <v>0</v>
      </c>
      <c r="H83" s="225">
        <f t="shared" ca="1" si="45"/>
        <v>0</v>
      </c>
      <c r="I83" s="225">
        <f t="shared" ca="1" si="45"/>
        <v>0</v>
      </c>
      <c r="J83" s="225">
        <f t="shared" ca="1" si="45"/>
        <v>0</v>
      </c>
      <c r="K83" s="225">
        <f t="shared" ca="1" si="45"/>
        <v>0</v>
      </c>
      <c r="L83" s="225">
        <f t="shared" ca="1" si="45"/>
        <v>0</v>
      </c>
      <c r="M83" s="225">
        <f t="shared" ca="1" si="45"/>
        <v>0</v>
      </c>
      <c r="N83" s="225">
        <f t="shared" ca="1" si="46"/>
        <v>0</v>
      </c>
      <c r="O83" s="225">
        <f t="shared" ca="1" si="46"/>
        <v>0</v>
      </c>
      <c r="P83" s="225">
        <f t="shared" ca="1" si="46"/>
        <v>0</v>
      </c>
      <c r="Q83" s="225">
        <f t="shared" ca="1" si="46"/>
        <v>0</v>
      </c>
      <c r="R83" s="225">
        <f t="shared" ca="1" si="46"/>
        <v>0</v>
      </c>
      <c r="S83" s="225">
        <f t="shared" ca="1" si="46"/>
        <v>0</v>
      </c>
      <c r="T83" s="225">
        <f t="shared" ca="1" si="46"/>
        <v>0</v>
      </c>
      <c r="U83" s="225">
        <f t="shared" ca="1" si="46"/>
        <v>821.49000000000012</v>
      </c>
      <c r="V83" s="196"/>
      <c r="W83" s="196"/>
      <c r="X83" s="198"/>
      <c r="Y83" s="197"/>
      <c r="Z83" s="197"/>
      <c r="AA83" s="197"/>
      <c r="AB83" s="197"/>
      <c r="AC83" s="197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</row>
    <row r="84" spans="1:55" s="147" customFormat="1">
      <c r="A84" s="224" t="s">
        <v>200</v>
      </c>
      <c r="C84" s="355">
        <v>16</v>
      </c>
      <c r="D84" s="225">
        <f t="shared" ca="1" si="45"/>
        <v>0</v>
      </c>
      <c r="E84" s="225">
        <f t="shared" ca="1" si="45"/>
        <v>0</v>
      </c>
      <c r="F84" s="225">
        <f t="shared" ca="1" si="45"/>
        <v>0</v>
      </c>
      <c r="G84" s="225">
        <f t="shared" ca="1" si="45"/>
        <v>0</v>
      </c>
      <c r="H84" s="225">
        <f t="shared" ca="1" si="45"/>
        <v>0</v>
      </c>
      <c r="I84" s="225">
        <f t="shared" ca="1" si="45"/>
        <v>0</v>
      </c>
      <c r="J84" s="225">
        <f t="shared" ca="1" si="45"/>
        <v>0</v>
      </c>
      <c r="K84" s="225">
        <f t="shared" ca="1" si="45"/>
        <v>0</v>
      </c>
      <c r="L84" s="225">
        <f t="shared" ca="1" si="45"/>
        <v>0</v>
      </c>
      <c r="M84" s="225">
        <f t="shared" ca="1" si="45"/>
        <v>0</v>
      </c>
      <c r="N84" s="225">
        <f t="shared" ca="1" si="46"/>
        <v>810.50399999999991</v>
      </c>
      <c r="O84" s="225">
        <f t="shared" ca="1" si="46"/>
        <v>0</v>
      </c>
      <c r="P84" s="225">
        <f t="shared" ca="1" si="46"/>
        <v>0</v>
      </c>
      <c r="Q84" s="225">
        <f t="shared" ca="1" si="46"/>
        <v>0</v>
      </c>
      <c r="R84" s="225">
        <f t="shared" ca="1" si="46"/>
        <v>0</v>
      </c>
      <c r="S84" s="225">
        <f t="shared" ca="1" si="46"/>
        <v>0</v>
      </c>
      <c r="T84" s="225">
        <f t="shared" ca="1" si="46"/>
        <v>0</v>
      </c>
      <c r="U84" s="225">
        <f t="shared" ca="1" si="46"/>
        <v>0</v>
      </c>
      <c r="V84" s="196"/>
      <c r="W84" s="196"/>
      <c r="X84" s="198"/>
      <c r="Y84" s="197"/>
      <c r="Z84" s="197"/>
      <c r="AA84" s="197"/>
      <c r="AB84" s="197"/>
      <c r="AC84" s="197"/>
      <c r="AD84" s="197"/>
      <c r="AE84" s="197"/>
      <c r="AF84" s="197"/>
      <c r="AG84" s="197"/>
      <c r="AH84" s="197"/>
      <c r="AI84" s="197"/>
      <c r="AJ84" s="197"/>
      <c r="AK84" s="197"/>
      <c r="AL84" s="197"/>
      <c r="AM84" s="197"/>
      <c r="AN84" s="197"/>
      <c r="AO84" s="197"/>
      <c r="AP84" s="197"/>
      <c r="AQ84" s="197"/>
      <c r="AR84" s="197"/>
      <c r="AS84" s="197"/>
      <c r="AT84" s="197"/>
      <c r="AU84" s="197"/>
      <c r="AV84" s="197"/>
      <c r="AW84" s="197"/>
      <c r="AX84" s="197"/>
      <c r="AY84" s="197"/>
      <c r="AZ84" s="197"/>
      <c r="BA84" s="197"/>
      <c r="BB84" s="197"/>
      <c r="BC84" s="197"/>
    </row>
    <row r="85" spans="1:55" s="147" customFormat="1">
      <c r="A85" s="224" t="s">
        <v>201</v>
      </c>
      <c r="C85" s="355">
        <v>17</v>
      </c>
      <c r="D85" s="225">
        <f t="shared" ca="1" si="45"/>
        <v>0</v>
      </c>
      <c r="E85" s="225">
        <f t="shared" ca="1" si="45"/>
        <v>0</v>
      </c>
      <c r="F85" s="225">
        <f t="shared" ca="1" si="45"/>
        <v>0</v>
      </c>
      <c r="G85" s="225">
        <f t="shared" ca="1" si="45"/>
        <v>0</v>
      </c>
      <c r="H85" s="225">
        <f t="shared" ca="1" si="45"/>
        <v>0</v>
      </c>
      <c r="I85" s="225">
        <f t="shared" ca="1" si="45"/>
        <v>0</v>
      </c>
      <c r="J85" s="225">
        <f t="shared" ca="1" si="45"/>
        <v>0</v>
      </c>
      <c r="K85" s="225">
        <f t="shared" ca="1" si="45"/>
        <v>0</v>
      </c>
      <c r="L85" s="225">
        <f t="shared" ca="1" si="45"/>
        <v>0</v>
      </c>
      <c r="M85" s="225">
        <f t="shared" ca="1" si="45"/>
        <v>0</v>
      </c>
      <c r="N85" s="225">
        <f t="shared" ca="1" si="46"/>
        <v>0</v>
      </c>
      <c r="O85" s="225">
        <f t="shared" ca="1" si="46"/>
        <v>0</v>
      </c>
      <c r="P85" s="225">
        <f t="shared" ca="1" si="46"/>
        <v>0</v>
      </c>
      <c r="Q85" s="225">
        <f t="shared" ca="1" si="46"/>
        <v>799.61599999999999</v>
      </c>
      <c r="R85" s="225">
        <f t="shared" ca="1" si="46"/>
        <v>799.61599999999999</v>
      </c>
      <c r="S85" s="225">
        <f t="shared" ca="1" si="46"/>
        <v>0</v>
      </c>
      <c r="T85" s="225">
        <f t="shared" ca="1" si="46"/>
        <v>0</v>
      </c>
      <c r="U85" s="225">
        <f t="shared" ca="1" si="46"/>
        <v>0</v>
      </c>
      <c r="V85" s="196"/>
      <c r="W85" s="196"/>
      <c r="X85" s="198"/>
      <c r="Y85" s="197"/>
      <c r="Z85" s="197"/>
      <c r="AA85" s="197"/>
      <c r="AB85" s="197"/>
      <c r="AC85" s="197"/>
      <c r="AD85" s="197"/>
      <c r="AE85" s="197"/>
      <c r="AF85" s="197"/>
      <c r="AG85" s="197"/>
      <c r="AH85" s="197"/>
      <c r="AI85" s="197"/>
      <c r="AJ85" s="197"/>
      <c r="AK85" s="197"/>
      <c r="AL85" s="197"/>
      <c r="AM85" s="197"/>
      <c r="AN85" s="197"/>
      <c r="AO85" s="197"/>
      <c r="AP85" s="197"/>
      <c r="AQ85" s="197"/>
      <c r="AR85" s="197"/>
      <c r="AS85" s="197"/>
      <c r="AT85" s="197"/>
      <c r="AU85" s="197"/>
      <c r="AV85" s="197"/>
      <c r="AW85" s="197"/>
      <c r="AX85" s="197"/>
      <c r="AY85" s="197"/>
      <c r="AZ85" s="197"/>
      <c r="BA85" s="197"/>
      <c r="BB85" s="197"/>
      <c r="BC85" s="197"/>
    </row>
    <row r="86" spans="1:55" s="147" customFormat="1">
      <c r="A86" s="224" t="s">
        <v>230</v>
      </c>
      <c r="C86" s="355">
        <v>18</v>
      </c>
      <c r="D86" s="225">
        <f t="shared" ca="1" si="45"/>
        <v>0</v>
      </c>
      <c r="E86" s="225">
        <f t="shared" ca="1" si="45"/>
        <v>0</v>
      </c>
      <c r="F86" s="225">
        <f t="shared" ca="1" si="45"/>
        <v>0</v>
      </c>
      <c r="G86" s="225">
        <f t="shared" ca="1" si="45"/>
        <v>0</v>
      </c>
      <c r="H86" s="225">
        <f t="shared" ca="1" si="45"/>
        <v>0</v>
      </c>
      <c r="I86" s="225">
        <f t="shared" ca="1" si="45"/>
        <v>0</v>
      </c>
      <c r="J86" s="225">
        <f t="shared" ca="1" si="45"/>
        <v>0</v>
      </c>
      <c r="K86" s="225">
        <f t="shared" ca="1" si="45"/>
        <v>0</v>
      </c>
      <c r="L86" s="225">
        <f t="shared" ca="1" si="45"/>
        <v>0</v>
      </c>
      <c r="M86" s="225">
        <f t="shared" ca="1" si="45"/>
        <v>0</v>
      </c>
      <c r="N86" s="225">
        <f t="shared" ca="1" si="46"/>
        <v>0</v>
      </c>
      <c r="O86" s="225">
        <f t="shared" ca="1" si="46"/>
        <v>0</v>
      </c>
      <c r="P86" s="225">
        <f t="shared" ca="1" si="46"/>
        <v>0</v>
      </c>
      <c r="Q86" s="225">
        <f t="shared" ca="1" si="46"/>
        <v>799.61599999999999</v>
      </c>
      <c r="R86" s="225">
        <f t="shared" ca="1" si="46"/>
        <v>799.61599999999999</v>
      </c>
      <c r="S86" s="225">
        <f t="shared" ca="1" si="46"/>
        <v>0</v>
      </c>
      <c r="T86" s="225">
        <f t="shared" ca="1" si="46"/>
        <v>0</v>
      </c>
      <c r="U86" s="225">
        <f t="shared" ca="1" si="46"/>
        <v>0</v>
      </c>
      <c r="V86" s="196"/>
      <c r="W86" s="196"/>
      <c r="X86" s="198"/>
      <c r="Y86" s="197"/>
      <c r="Z86" s="197"/>
      <c r="AA86" s="197"/>
      <c r="AB86" s="197"/>
      <c r="AC86" s="197"/>
      <c r="AD86" s="197"/>
      <c r="AE86" s="197"/>
      <c r="AF86" s="197"/>
      <c r="AG86" s="197"/>
      <c r="AH86" s="197"/>
      <c r="AI86" s="197"/>
      <c r="AJ86" s="197"/>
      <c r="AK86" s="197"/>
      <c r="AL86" s="197"/>
      <c r="AM86" s="197"/>
      <c r="AN86" s="197"/>
      <c r="AO86" s="197"/>
      <c r="AP86" s="197"/>
      <c r="AQ86" s="197"/>
      <c r="AR86" s="197"/>
      <c r="AS86" s="197"/>
      <c r="AT86" s="197"/>
      <c r="AU86" s="197"/>
      <c r="AV86" s="197"/>
      <c r="AW86" s="197"/>
      <c r="AX86" s="197"/>
      <c r="AY86" s="197"/>
      <c r="AZ86" s="197"/>
      <c r="BA86" s="197"/>
      <c r="BB86" s="197"/>
      <c r="BC86" s="197"/>
    </row>
    <row r="87" spans="1:55" s="147" customFormat="1">
      <c r="A87" s="224" t="s">
        <v>102</v>
      </c>
      <c r="C87" s="355">
        <v>1</v>
      </c>
      <c r="D87" s="226">
        <f ca="1">IF(D69+SUM($Q$110:$U$110)&gt;D$60,MAX(MIN(D$60-SUM($Q$110:$U$110),D69),0),D69)</f>
        <v>0</v>
      </c>
      <c r="E87" s="226">
        <f t="shared" ref="E87:P87" ca="1" si="47">IF(E69+SUM($Q$110:$U$110)&gt;E$60,MAX(MIN(E$60-SUM($Q$110:$U$110),E69),0),E69)</f>
        <v>0</v>
      </c>
      <c r="F87" s="226">
        <f t="shared" ca="1" si="47"/>
        <v>0</v>
      </c>
      <c r="G87" s="226">
        <f t="shared" ca="1" si="47"/>
        <v>0</v>
      </c>
      <c r="H87" s="226">
        <f t="shared" ca="1" si="47"/>
        <v>0</v>
      </c>
      <c r="I87" s="226">
        <f t="shared" ca="1" si="47"/>
        <v>0</v>
      </c>
      <c r="J87" s="226">
        <f t="shared" ca="1" si="47"/>
        <v>0</v>
      </c>
      <c r="K87" s="226">
        <f t="shared" ca="1" si="47"/>
        <v>0</v>
      </c>
      <c r="L87" s="226">
        <f t="shared" ca="1" si="47"/>
        <v>0</v>
      </c>
      <c r="M87" s="226">
        <f t="shared" ca="1" si="47"/>
        <v>0</v>
      </c>
      <c r="N87" s="226">
        <f t="shared" ca="1" si="47"/>
        <v>0</v>
      </c>
      <c r="O87" s="226">
        <f t="shared" ca="1" si="47"/>
        <v>0</v>
      </c>
      <c r="P87" s="226">
        <f t="shared" ca="1" si="47"/>
        <v>0</v>
      </c>
      <c r="Q87" s="227">
        <f ca="1">IF(Q69&gt;Q60,Q60,Q69)</f>
        <v>0</v>
      </c>
      <c r="R87" s="227">
        <f ca="1">IF(R69&gt;R60,R60,R69)</f>
        <v>0</v>
      </c>
      <c r="S87" s="227">
        <f ca="1">IF(S69&gt;S60,S60,S69)</f>
        <v>0</v>
      </c>
      <c r="T87" s="227">
        <f ca="1">IF(T69&gt;T60,T60,T69)</f>
        <v>0</v>
      </c>
      <c r="U87" s="227">
        <f ca="1">IF(U69&gt;U60,U60,U69)</f>
        <v>0</v>
      </c>
      <c r="V87" s="196"/>
      <c r="W87" s="196"/>
      <c r="X87" s="198"/>
      <c r="Y87" s="197"/>
      <c r="Z87" s="197"/>
      <c r="AA87" s="197"/>
      <c r="AB87" s="197"/>
      <c r="AC87" s="197"/>
      <c r="AD87" s="197"/>
      <c r="AE87" s="197"/>
      <c r="AF87" s="197"/>
      <c r="AG87" s="197"/>
      <c r="AH87" s="197"/>
      <c r="AI87" s="197"/>
      <c r="AJ87" s="197"/>
      <c r="AK87" s="197"/>
      <c r="AL87" s="197"/>
      <c r="AM87" s="197"/>
      <c r="AN87" s="197"/>
      <c r="AO87" s="197"/>
      <c r="AP87" s="197"/>
      <c r="AQ87" s="197"/>
      <c r="AR87" s="197"/>
      <c r="AS87" s="197"/>
      <c r="AT87" s="197"/>
      <c r="AU87" s="197"/>
      <c r="AV87" s="197"/>
      <c r="AW87" s="197"/>
      <c r="AX87" s="197"/>
      <c r="AY87" s="197"/>
      <c r="AZ87" s="197"/>
      <c r="BA87" s="197"/>
      <c r="BB87" s="197"/>
      <c r="BC87" s="197"/>
    </row>
    <row r="88" spans="1:55" s="147" customFormat="1">
      <c r="A88" s="224" t="s">
        <v>102</v>
      </c>
      <c r="C88" s="355">
        <v>2</v>
      </c>
      <c r="D88" s="232">
        <f ca="1">IF(SUM($D$87:$P87)+SUM($Q$110:$U$110)+D70&gt;D$60,MAX(MIN(D$60-SUM($Q$110:$U$110)-SUM($D$87:$P87),D70),0),D70)</f>
        <v>0</v>
      </c>
      <c r="E88" s="232">
        <f ca="1">IF(SUM($D$87:$P87)+SUM($Q$110:$U$110)+E70&gt;E$60,MAX(MIN(E$60-SUM($Q$110:$U$110)-SUM($D$87:$P87),E70),0),E70)</f>
        <v>0</v>
      </c>
      <c r="F88" s="232">
        <f ca="1">IF(SUM($D$87:$P87)+SUM($Q$110:$U$110)+F70&gt;F$60,MAX(MIN(F$60-SUM($Q$110:$U$110)-SUM($D$87:$P87),F70),0),F70)</f>
        <v>0</v>
      </c>
      <c r="G88" s="232">
        <f ca="1">IF(SUM($D$87:$P87)+SUM($Q$110:$U$110)+G70&gt;G$60,MAX(MIN(G$60-SUM($Q$110:$U$110)-SUM($D$87:$P87),G70),0),G70)</f>
        <v>0</v>
      </c>
      <c r="H88" s="232">
        <f ca="1">IF(SUM($D$87:$P87)+SUM($Q$110:$U$110)+H70&gt;H$60,MAX(MIN(H$60-SUM($Q$110:$U$110)-SUM($D$87:$P87),H70),0),H70)</f>
        <v>0</v>
      </c>
      <c r="I88" s="232">
        <f ca="1">IF(SUM($D$87:$P87)+SUM($Q$110:$U$110)+I70&gt;I$60,MAX(MIN(I$60-SUM($Q$110:$U$110)-SUM($D$87:$P87),I70),0),I70)</f>
        <v>0</v>
      </c>
      <c r="J88" s="232">
        <f ca="1">IF(SUM($D$87:$P87)+SUM($Q$110:$U$110)+J70&gt;J$60,MAX(MIN(J$60-SUM($Q$110:$U$110)-SUM($D$87:$P87),J70),0),J70)</f>
        <v>0</v>
      </c>
      <c r="K88" s="232">
        <f ca="1">IF(SUM($D$87:$P87)+SUM($Q$110:$U$110)+K70&gt;K$60,MAX(MIN(K$60-SUM($Q$110:$U$110)-SUM($D$87:$P87),K70),0),K70)</f>
        <v>0</v>
      </c>
      <c r="L88" s="232">
        <f ca="1">IF(SUM($D$87:$P87)+SUM($Q$110:$U$110)+L70&gt;L$60,MAX(MIN(L$60-SUM($Q$110:$U$110)-SUM($D$87:$P87),L70),0),L70)</f>
        <v>0</v>
      </c>
      <c r="M88" s="232">
        <f ca="1">IF(SUM($D$87:$P87)+SUM($Q$110:$U$110)+M70&gt;M$60,MAX(MIN(M$60-SUM($Q$110:$U$110)-SUM($D$87:$P87),M70),0),M70)</f>
        <v>0</v>
      </c>
      <c r="N88" s="232">
        <f ca="1">IF(SUM($D$87:$P87)+SUM($Q$110:$U$110)+N70&gt;N$60,MAX(MIN(N$60-SUM($Q$110:$U$110)-SUM($D$87:$P87),N70),0),N70)</f>
        <v>0</v>
      </c>
      <c r="O88" s="232">
        <f ca="1">IF(SUM($D$87:$P87)+SUM($Q$110:$U$110)+O70&gt;O$60,MAX(MIN(O$60-SUM($Q$110:$U$110)-SUM($D$87:$P87),O70),0),O70)</f>
        <v>0</v>
      </c>
      <c r="P88" s="232">
        <f ca="1">IF(SUM($D$87:$P87)+SUM($Q$110:$U$110)+P70&gt;P$60,MAX(MIN(P$60-SUM($Q$110:$U$110)-SUM($D$87:$P87),P70),0),P70)</f>
        <v>0</v>
      </c>
      <c r="Q88" s="228">
        <f ca="1">IF(SUM($M$87:$U87)&lt;Q$60,MIN(Q$60-SUM($M$87:$U87),Q70),0)</f>
        <v>0</v>
      </c>
      <c r="R88" s="228">
        <f ca="1">IF(SUM($M$87:$U87)&lt;R$60,MIN(R$60-SUM($M$87:$U87),R70),0)</f>
        <v>0</v>
      </c>
      <c r="S88" s="228">
        <f ca="1">IF(SUM($M$87:$U87)&lt;S$60,MIN(S$60-SUM($M$87:$U87),S70),0)</f>
        <v>0</v>
      </c>
      <c r="T88" s="228">
        <f ca="1">IF(SUM($M$87:$U87)&lt;T$60,MIN(T$60-SUM($M$87:$U87),T70),0)</f>
        <v>0</v>
      </c>
      <c r="U88" s="228">
        <f ca="1">IF(SUM($M$87:$U87)&lt;U$60,MIN(U$60-SUM($M$87:$U87),U70),0)</f>
        <v>0</v>
      </c>
      <c r="V88" s="196"/>
      <c r="W88" s="196"/>
      <c r="X88" s="198"/>
      <c r="Y88" s="197"/>
      <c r="Z88" s="197"/>
      <c r="AA88" s="197"/>
      <c r="AB88" s="197"/>
      <c r="AC88" s="197"/>
      <c r="AD88" s="197"/>
      <c r="AE88" s="197"/>
      <c r="AF88" s="197"/>
      <c r="AG88" s="197"/>
      <c r="AH88" s="197"/>
      <c r="AI88" s="197"/>
      <c r="AJ88" s="197"/>
      <c r="AK88" s="197"/>
      <c r="AL88" s="197"/>
      <c r="AM88" s="197"/>
      <c r="AN88" s="197"/>
      <c r="AO88" s="197"/>
      <c r="AP88" s="197"/>
      <c r="AQ88" s="197"/>
      <c r="AR88" s="197"/>
      <c r="AS88" s="197"/>
      <c r="AT88" s="197"/>
      <c r="AU88" s="197"/>
      <c r="AV88" s="197"/>
      <c r="AW88" s="197"/>
      <c r="AX88" s="197"/>
      <c r="AY88" s="197"/>
      <c r="AZ88" s="197"/>
      <c r="BA88" s="197"/>
      <c r="BB88" s="197"/>
      <c r="BC88" s="197"/>
    </row>
    <row r="89" spans="1:55" s="147" customFormat="1">
      <c r="A89" s="224" t="s">
        <v>102</v>
      </c>
      <c r="C89" s="355">
        <v>3</v>
      </c>
      <c r="D89" s="232">
        <f ca="1">IF(SUM($D$87:$P88)+SUM($Q$110:$U$110)+D71&gt;D$60,MAX(MIN(D$60-SUM($Q$110:$U$110)-SUM($D$87:$P88),D71),0),D71)</f>
        <v>0</v>
      </c>
      <c r="E89" s="232">
        <f ca="1">IF(SUM($D$87:$P88)+SUM($Q$110:$U$110)+E71&gt;E$60,MAX(MIN(E$60-SUM($Q$110:$U$110)-SUM($D$87:$P88),E71),0),E71)</f>
        <v>0</v>
      </c>
      <c r="F89" s="232">
        <f ca="1">IF(SUM($D$87:$P88)+SUM($Q$110:$U$110)+F71&gt;F$60,MAX(MIN(F$60-SUM($Q$110:$U$110)-SUM($D$87:$P88),F71),0),F71)</f>
        <v>0</v>
      </c>
      <c r="G89" s="232">
        <f ca="1">IF(SUM($D$87:$P88)+SUM($Q$110:$U$110)+G71&gt;G$60,MAX(MIN(G$60-SUM($Q$110:$U$110)-SUM($D$87:$P88),G71),0),G71)</f>
        <v>0</v>
      </c>
      <c r="H89" s="232">
        <f ca="1">IF(SUM($D$87:$P88)+SUM($Q$110:$U$110)+H71&gt;H$60,MAX(MIN(H$60-SUM($Q$110:$U$110)-SUM($D$87:$P88),H71),0),H71)</f>
        <v>0</v>
      </c>
      <c r="I89" s="232">
        <f ca="1">IF(SUM($D$87:$P88)+SUM($Q$110:$U$110)+I71&gt;I$60,MAX(MIN(I$60-SUM($Q$110:$U$110)-SUM($D$87:$P88),I71),0),I71)</f>
        <v>0</v>
      </c>
      <c r="J89" s="232">
        <f ca="1">IF(SUM($D$87:$P88)+SUM($Q$110:$U$110)+J71&gt;J$60,MAX(MIN(J$60-SUM($Q$110:$U$110)-SUM($D$87:$P88),J71),0),J71)</f>
        <v>0</v>
      </c>
      <c r="K89" s="232">
        <f ca="1">IF(SUM($D$87:$P88)+SUM($Q$110:$U$110)+K71&gt;K$60,MAX(MIN(K$60-SUM($Q$110:$U$110)-SUM($D$87:$P88),K71),0),K71)</f>
        <v>0</v>
      </c>
      <c r="L89" s="232">
        <f ca="1">IF(SUM($D$87:$P88)+SUM($Q$110:$U$110)+L71&gt;L$60,MAX(MIN(L$60-SUM($Q$110:$U$110)-SUM($D$87:$P88),L71),0),L71)</f>
        <v>0</v>
      </c>
      <c r="M89" s="232">
        <f ca="1">IF(SUM($D$87:$P88)+SUM($Q$110:$U$110)+M71&gt;M$60,MAX(MIN(M$60-SUM($Q$110:$U$110)-SUM($D$87:$P88),M71),0),M71)</f>
        <v>0</v>
      </c>
      <c r="N89" s="232">
        <f ca="1">IF(SUM($D$87:$P88)+SUM($Q$110:$U$110)+N71&gt;N$60,MAX(MIN(N$60-SUM($Q$110:$U$110)-SUM($D$87:$P88),N71),0),N71)</f>
        <v>0</v>
      </c>
      <c r="O89" s="232">
        <f ca="1">IF(SUM($D$87:$P88)+SUM($Q$110:$U$110)+O71&gt;O$60,MAX(MIN(O$60-SUM($Q$110:$U$110)-SUM($D$87:$P88),O71),0),O71)</f>
        <v>0</v>
      </c>
      <c r="P89" s="232">
        <f ca="1">IF(SUM($D$87:$P88)+SUM($Q$110:$U$110)+P71&gt;P$60,MAX(MIN(P$60-SUM($Q$110:$U$110)-SUM($D$87:$P88),P71),0),P71)</f>
        <v>0</v>
      </c>
      <c r="Q89" s="228">
        <f ca="1">IF(SUM($M$87:$U88)&lt;Q$60,MIN(Q$60-SUM($M$87:$U88),Q71),0)</f>
        <v>0</v>
      </c>
      <c r="R89" s="228">
        <f ca="1">IF(SUM($M$87:$U88)&lt;R$60,MIN(R$60-SUM($M$87:$U88),R71),0)</f>
        <v>0</v>
      </c>
      <c r="S89" s="228">
        <f ca="1">IF(SUM($M$87:$U88)&lt;S$60,MIN(S$60-SUM($M$87:$U88),S71),0)</f>
        <v>0</v>
      </c>
      <c r="T89" s="228">
        <f ca="1">IF(SUM($M$87:$U88)&lt;T$60,MIN(T$60-SUM($M$87:$U88),T71),0)</f>
        <v>0</v>
      </c>
      <c r="U89" s="228">
        <f ca="1">IF(SUM($M$87:$U88)&lt;U$60,MIN(U$60-SUM($M$87:$U88),U71),0)</f>
        <v>0</v>
      </c>
      <c r="V89" s="196"/>
      <c r="W89" s="196"/>
      <c r="X89" s="198"/>
      <c r="Y89" s="197"/>
      <c r="Z89" s="197"/>
      <c r="AA89" s="197"/>
      <c r="AB89" s="197"/>
      <c r="AC89" s="197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  <c r="AQ89" s="197"/>
      <c r="AR89" s="197"/>
      <c r="AS89" s="197"/>
      <c r="AT89" s="197"/>
      <c r="AU89" s="197"/>
      <c r="AV89" s="197"/>
      <c r="AW89" s="197"/>
      <c r="AX89" s="197"/>
      <c r="AY89" s="197"/>
      <c r="AZ89" s="197"/>
      <c r="BA89" s="197"/>
      <c r="BB89" s="197"/>
      <c r="BC89" s="197"/>
    </row>
    <row r="90" spans="1:55" s="147" customFormat="1">
      <c r="A90" s="224" t="s">
        <v>102</v>
      </c>
      <c r="C90" s="355">
        <v>4</v>
      </c>
      <c r="D90" s="232">
        <f ca="1">IF(SUM($D$87:$P89)+SUM($Q$110:$U$110)+D72&gt;D$60,MAX(MIN(D$60-SUM($Q$110:$U$110)-SUM($D$87:$P89),D72),0),D72)</f>
        <v>0</v>
      </c>
      <c r="E90" s="232">
        <f ca="1">IF(SUM($D$87:$P89)+SUM($Q$110:$U$110)+E72&gt;E$60,MAX(MIN(E$60-SUM($Q$110:$U$110)-SUM($D$87:$P89),E72),0),E72)</f>
        <v>0</v>
      </c>
      <c r="F90" s="232">
        <f ca="1">IF(SUM($D$87:$P89)+SUM($Q$110:$U$110)+F72&gt;F$60,MAX(MIN(F$60-SUM($Q$110:$U$110)-SUM($D$87:$P89),F72),0),F72)</f>
        <v>0</v>
      </c>
      <c r="G90" s="232">
        <f ca="1">IF(SUM($D$87:$P89)+SUM($Q$110:$U$110)+G72&gt;G$60,MAX(MIN(G$60-SUM($Q$110:$U$110)-SUM($D$87:$P89),G72),0),G72)</f>
        <v>0</v>
      </c>
      <c r="H90" s="232">
        <f ca="1">IF(SUM($D$87:$P89)+SUM($Q$110:$U$110)+H72&gt;H$60,MAX(MIN(H$60-SUM($Q$110:$U$110)-SUM($D$87:$P89),H72),0),H72)</f>
        <v>0</v>
      </c>
      <c r="I90" s="232">
        <f ca="1">IF(SUM($D$87:$P89)+SUM($Q$110:$U$110)+I72&gt;I$60,MAX(MIN(I$60-SUM($Q$110:$U$110)-SUM($D$87:$P89),I72),0),I72)</f>
        <v>0</v>
      </c>
      <c r="J90" s="232">
        <f ca="1">IF(SUM($D$87:$P89)+SUM($Q$110:$U$110)+J72&gt;J$60,MAX(MIN(J$60-SUM($Q$110:$U$110)-SUM($D$87:$P89),J72),0),J72)</f>
        <v>0</v>
      </c>
      <c r="K90" s="232">
        <f ca="1">IF(SUM($D$87:$P89)+SUM($Q$110:$U$110)+K72&gt;K$60,MAX(MIN(K$60-SUM($Q$110:$U$110)-SUM($D$87:$P89),K72),0),K72)</f>
        <v>0</v>
      </c>
      <c r="L90" s="232">
        <f ca="1">IF(SUM($D$87:$P89)+SUM($Q$110:$U$110)+L72&gt;L$60,MAX(MIN(L$60-SUM($Q$110:$U$110)-SUM($D$87:$P89),L72),0),L72)</f>
        <v>0</v>
      </c>
      <c r="M90" s="232">
        <f ca="1">IF(SUM($D$87:$P89)+SUM($Q$110:$U$110)+M72&gt;M$60,MAX(MIN(M$60-SUM($Q$110:$U$110)-SUM($D$87:$P89),M72),0),M72)</f>
        <v>0</v>
      </c>
      <c r="N90" s="232">
        <f ca="1">IF(SUM($D$87:$P89)+SUM($Q$110:$U$110)+N72&gt;N$60,MAX(MIN(N$60-SUM($Q$110:$U$110)-SUM($D$87:$P89),N72),0),N72)</f>
        <v>0</v>
      </c>
      <c r="O90" s="232">
        <f ca="1">IF(SUM($D$87:$P89)+SUM($Q$110:$U$110)+O72&gt;O$60,MAX(MIN(O$60-SUM($Q$110:$U$110)-SUM($D$87:$P89),O72),0),O72)</f>
        <v>0</v>
      </c>
      <c r="P90" s="232">
        <f ca="1">IF(SUM($D$87:$P89)+SUM($Q$110:$U$110)+P72&gt;P$60,MAX(MIN(P$60-SUM($Q$110:$U$110)-SUM($D$87:$P89),P72),0),P72)</f>
        <v>0</v>
      </c>
      <c r="Q90" s="228">
        <f ca="1">IF(SUM($M$87:$U89)&lt;Q$60,MIN(Q$60-SUM($M$87:$U89),Q72),0)</f>
        <v>0</v>
      </c>
      <c r="R90" s="228">
        <f ca="1">IF(SUM($M$87:$U89)&lt;R$60,MIN(R$60-SUM($M$87:$U89),R72),0)</f>
        <v>0</v>
      </c>
      <c r="S90" s="228">
        <f ca="1">IF(SUM($M$87:$U89)&lt;S$60,MIN(S$60-SUM($M$87:$U89),S72),0)</f>
        <v>0</v>
      </c>
      <c r="T90" s="228">
        <f ca="1">IF(SUM($M$87:$U89)&lt;T$60,MIN(T$60-SUM($M$87:$U89),T72),0)</f>
        <v>0</v>
      </c>
      <c r="U90" s="228">
        <f ca="1">IF(SUM($M$87:$U89)&lt;U$60,MIN(U$60-SUM($M$87:$U89),U72),0)</f>
        <v>0</v>
      </c>
      <c r="V90" s="196"/>
      <c r="W90" s="196"/>
      <c r="X90" s="198"/>
      <c r="Y90" s="197"/>
      <c r="Z90" s="197"/>
      <c r="AA90" s="197"/>
      <c r="AB90" s="197"/>
      <c r="AC90" s="197"/>
      <c r="AD90" s="197"/>
      <c r="AE90" s="197"/>
      <c r="AF90" s="197"/>
      <c r="AG90" s="197"/>
      <c r="AH90" s="197"/>
      <c r="AI90" s="197"/>
      <c r="AJ90" s="197"/>
      <c r="AK90" s="197"/>
      <c r="AL90" s="197"/>
      <c r="AM90" s="197"/>
      <c r="AN90" s="197"/>
      <c r="AO90" s="197"/>
      <c r="AP90" s="197"/>
      <c r="AQ90" s="197"/>
      <c r="AR90" s="197"/>
      <c r="AS90" s="197"/>
      <c r="AT90" s="197"/>
      <c r="AU90" s="197"/>
      <c r="AV90" s="197"/>
      <c r="AW90" s="197"/>
      <c r="AX90" s="197"/>
      <c r="AY90" s="197"/>
      <c r="AZ90" s="197"/>
      <c r="BA90" s="197"/>
      <c r="BB90" s="197"/>
      <c r="BC90" s="197"/>
    </row>
    <row r="91" spans="1:55" s="147" customFormat="1">
      <c r="A91" s="224" t="s">
        <v>102</v>
      </c>
      <c r="C91" s="355">
        <v>5</v>
      </c>
      <c r="D91" s="232">
        <f ca="1">IF(SUM($D$87:$P90)+SUM($Q$110:$U$110)+D73&gt;D$60,MAX(MIN(D$60-SUM($Q$110:$U$110)-SUM($D$87:$P90),D73),0),D73)</f>
        <v>0</v>
      </c>
      <c r="E91" s="232">
        <f ca="1">IF(SUM($D$87:$P90)+SUM($Q$110:$U$110)+E73&gt;E$60,MAX(MIN(E$60-SUM($Q$110:$U$110)-SUM($D$87:$P90),E73),0),E73)</f>
        <v>0</v>
      </c>
      <c r="F91" s="232">
        <f ca="1">IF(SUM($D$87:$P90)+SUM($Q$110:$U$110)+F73&gt;F$60,MAX(MIN(F$60-SUM($Q$110:$U$110)-SUM($D$87:$P90),F73),0),F73)</f>
        <v>0</v>
      </c>
      <c r="G91" s="232">
        <f ca="1">IF(SUM($D$87:$P90)+SUM($Q$110:$U$110)+G73&gt;G$60,MAX(MIN(G$60-SUM($Q$110:$U$110)-SUM($D$87:$P90),G73),0),G73)</f>
        <v>0</v>
      </c>
      <c r="H91" s="232">
        <f ca="1">IF(SUM($D$87:$P90)+SUM($Q$110:$U$110)+H73&gt;H$60,MAX(MIN(H$60-SUM($Q$110:$U$110)-SUM($D$87:$P90),H73),0),H73)</f>
        <v>0</v>
      </c>
      <c r="I91" s="232">
        <f ca="1">IF(SUM($D$87:$P90)+SUM($Q$110:$U$110)+I73&gt;I$60,MAX(MIN(I$60-SUM($Q$110:$U$110)-SUM($D$87:$P90),I73),0),I73)</f>
        <v>0</v>
      </c>
      <c r="J91" s="232">
        <f ca="1">IF(SUM($D$87:$P90)+SUM($Q$110:$U$110)+J73&gt;J$60,MAX(MIN(J$60-SUM($Q$110:$U$110)-SUM($D$87:$P90),J73),0),J73)</f>
        <v>0</v>
      </c>
      <c r="K91" s="232">
        <f ca="1">IF(SUM($D$87:$P90)+SUM($Q$110:$U$110)+K73&gt;K$60,MAX(MIN(K$60-SUM($Q$110:$U$110)-SUM($D$87:$P90),K73),0),K73)</f>
        <v>0</v>
      </c>
      <c r="L91" s="232">
        <f ca="1">IF(SUM($D$87:$P90)+SUM($Q$110:$U$110)+L73&gt;L$60,MAX(MIN(L$60-SUM($Q$110:$U$110)-SUM($D$87:$P90),L73),0),L73)</f>
        <v>0</v>
      </c>
      <c r="M91" s="232">
        <f ca="1">IF(SUM($D$87:$P90)+SUM($Q$110:$U$110)+M73&gt;M$60,MAX(MIN(M$60-SUM($Q$110:$U$110)-SUM($D$87:$P90),M73),0),M73)</f>
        <v>0</v>
      </c>
      <c r="N91" s="232">
        <f ca="1">IF(SUM($D$87:$P90)+SUM($Q$110:$U$110)+N73&gt;N$60,MAX(MIN(N$60-SUM($Q$110:$U$110)-SUM($D$87:$P90),N73),0),N73)</f>
        <v>0</v>
      </c>
      <c r="O91" s="232">
        <f ca="1">IF(SUM($D$87:$P90)+SUM($Q$110:$U$110)+O73&gt;O$60,MAX(MIN(O$60-SUM($Q$110:$U$110)-SUM($D$87:$P90),O73),0),O73)</f>
        <v>0</v>
      </c>
      <c r="P91" s="232">
        <f ca="1">IF(SUM($D$87:$P90)+SUM($Q$110:$U$110)+P73&gt;P$60,MAX(MIN(P$60-SUM($Q$110:$U$110)-SUM($D$87:$P90),P73),0),P73)</f>
        <v>0</v>
      </c>
      <c r="Q91" s="228">
        <f ca="1">IF(SUM($M$87:$U90)&lt;Q$60,MIN(Q$60-SUM($M$87:$U90),Q73),0)</f>
        <v>0</v>
      </c>
      <c r="R91" s="228">
        <f ca="1">IF(SUM($M$87:$U90)&lt;R$60,MIN(R$60-SUM($M$87:$U90),R73),0)</f>
        <v>0</v>
      </c>
      <c r="S91" s="228">
        <f ca="1">IF(SUM($M$87:$U90)&lt;S$60,MIN(S$60-SUM($M$87:$U90),S73),0)</f>
        <v>0</v>
      </c>
      <c r="T91" s="228">
        <f ca="1">IF(SUM($M$87:$U90)&lt;T$60,MIN(T$60-SUM($M$87:$U90),T73),0)</f>
        <v>0</v>
      </c>
      <c r="U91" s="228">
        <f ca="1">IF(SUM($M$87:$U90)&lt;U$60,MIN(U$60-SUM($M$87:$U90),U73),0)</f>
        <v>0</v>
      </c>
      <c r="V91" s="196"/>
      <c r="W91" s="196"/>
      <c r="X91" s="198"/>
      <c r="Y91" s="197"/>
      <c r="Z91" s="197"/>
      <c r="AA91" s="197"/>
      <c r="AB91" s="197"/>
      <c r="AC91" s="197"/>
      <c r="AD91" s="197"/>
      <c r="AE91" s="197"/>
      <c r="AF91" s="197"/>
      <c r="AG91" s="197"/>
      <c r="AH91" s="197"/>
      <c r="AI91" s="197"/>
      <c r="AJ91" s="197"/>
      <c r="AK91" s="197"/>
      <c r="AL91" s="197"/>
      <c r="AM91" s="197"/>
      <c r="AN91" s="197"/>
      <c r="AO91" s="197"/>
      <c r="AP91" s="197"/>
      <c r="AQ91" s="197"/>
      <c r="AR91" s="197"/>
      <c r="AS91" s="197"/>
      <c r="AT91" s="197"/>
      <c r="AU91" s="197"/>
      <c r="AV91" s="197"/>
      <c r="AW91" s="197"/>
      <c r="AX91" s="197"/>
      <c r="AY91" s="197"/>
      <c r="AZ91" s="197"/>
      <c r="BA91" s="197"/>
      <c r="BB91" s="197"/>
      <c r="BC91" s="197"/>
    </row>
    <row r="92" spans="1:55" s="125" customFormat="1">
      <c r="A92" s="224" t="s">
        <v>102</v>
      </c>
      <c r="C92" s="355">
        <v>6</v>
      </c>
      <c r="D92" s="232">
        <f ca="1">IF(SUM($D$87:$P91)+SUM($Q$110:$U$110)+D74&gt;D$60,MAX(MIN(D$60-SUM($Q$110:$U$110)-SUM($D$87:$P91),D74),0),D74)</f>
        <v>0</v>
      </c>
      <c r="E92" s="232">
        <f ca="1">IF(SUM($D$87:$P91)+SUM($Q$110:$U$110)+E74&gt;E$60,MAX(MIN(E$60-SUM($Q$110:$U$110)-SUM($D$87:$P91),E74),0),E74)</f>
        <v>0</v>
      </c>
      <c r="F92" s="232">
        <f ca="1">IF(SUM($D$87:$P91)+SUM($Q$110:$U$110)+F74&gt;F$60,MAX(MIN(F$60-SUM($Q$110:$U$110)-SUM($D$87:$P91),F74),0),F74)</f>
        <v>0</v>
      </c>
      <c r="G92" s="232">
        <f ca="1">IF(SUM($D$87:$P91)+SUM($Q$110:$U$110)+G74&gt;G$60,MAX(MIN(G$60-SUM($Q$110:$U$110)-SUM($D$87:$P91),G74),0),G74)</f>
        <v>0</v>
      </c>
      <c r="H92" s="232">
        <f ca="1">IF(SUM($D$87:$P91)+SUM($Q$110:$U$110)+H74&gt;H$60,MAX(MIN(H$60-SUM($Q$110:$U$110)-SUM($D$87:$P91),H74),0),H74)</f>
        <v>0</v>
      </c>
      <c r="I92" s="232">
        <f ca="1">IF(SUM($D$87:$P91)+SUM($Q$110:$U$110)+I74&gt;I$60,MAX(MIN(I$60-SUM($Q$110:$U$110)-SUM($D$87:$P91),I74),0),I74)</f>
        <v>0</v>
      </c>
      <c r="J92" s="232">
        <f ca="1">IF(SUM($D$87:$P91)+SUM($Q$110:$U$110)+J74&gt;J$60,MAX(MIN(J$60-SUM($Q$110:$U$110)-SUM($D$87:$P91),J74),0),J74)</f>
        <v>0</v>
      </c>
      <c r="K92" s="232">
        <f ca="1">IF(SUM($D$87:$P91)+SUM($Q$110:$U$110)+K74&gt;K$60,MAX(MIN(K$60-SUM($Q$110:$U$110)-SUM($D$87:$P91),K74),0),K74)</f>
        <v>0</v>
      </c>
      <c r="L92" s="232">
        <f ca="1">IF(SUM($D$87:$P91)+SUM($Q$110:$U$110)+L74&gt;L$60,MAX(MIN(L$60-SUM($Q$110:$U$110)-SUM($D$87:$P91),L74),0),L74)</f>
        <v>0</v>
      </c>
      <c r="M92" s="232">
        <f ca="1">IF(SUM($D$87:$P91)+SUM($Q$110:$U$110)+M74&gt;M$60,MAX(MIN(M$60-SUM($Q$110:$U$110)-SUM($D$87:$P91),M74),0),M74)</f>
        <v>0</v>
      </c>
      <c r="N92" s="232">
        <f ca="1">IF(SUM($D$87:$P91)+SUM($Q$110:$U$110)+N74&gt;N$60,MAX(MIN(N$60-SUM($Q$110:$U$110)-SUM($D$87:$P91),N74),0),N74)</f>
        <v>0</v>
      </c>
      <c r="O92" s="232">
        <f ca="1">IF(SUM($D$87:$P91)+SUM($Q$110:$U$110)+O74&gt;O$60,MAX(MIN(O$60-SUM($Q$110:$U$110)-SUM($D$87:$P91),O74),0),O74)</f>
        <v>0</v>
      </c>
      <c r="P92" s="232">
        <f ca="1">IF(SUM($D$87:$P91)+SUM($Q$110:$U$110)+P74&gt;P$60,MAX(MIN(P$60-SUM($Q$110:$U$110)-SUM($D$87:$P91),P74),0),P74)</f>
        <v>0</v>
      </c>
      <c r="Q92" s="228">
        <f ca="1">IF(SUM($M$87:$U91)&lt;Q$60,MIN(Q$60-SUM($M$87:$U91),Q74),0)</f>
        <v>0</v>
      </c>
      <c r="R92" s="228">
        <f ca="1">IF(SUM($M$87:$U91)&lt;R$60,MIN(R$60-SUM($M$87:$U91),R74),0)</f>
        <v>0</v>
      </c>
      <c r="S92" s="228">
        <f ca="1">IF(SUM($M$87:$U91)&lt;S$60,MIN(S$60-SUM($M$87:$U91),S74),0)</f>
        <v>0</v>
      </c>
      <c r="T92" s="228">
        <f ca="1">IF(SUM($M$87:$U91)&lt;T$60,MIN(T$60-SUM($M$87:$U91),T74),0)</f>
        <v>0</v>
      </c>
      <c r="U92" s="228">
        <f ca="1">IF(SUM($M$87:$U91)&lt;U$60,MIN(U$60-SUM($M$87:$U91),U74),0)</f>
        <v>0</v>
      </c>
      <c r="V92" s="5"/>
      <c r="W92" s="5"/>
      <c r="X92" s="177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</row>
    <row r="93" spans="1:55" s="125" customFormat="1">
      <c r="A93" s="224" t="s">
        <v>102</v>
      </c>
      <c r="C93" s="355">
        <v>7</v>
      </c>
      <c r="D93" s="232">
        <f ca="1">IF(SUM($D$87:$P92)+SUM($Q$110:$U$110)+D75&gt;D$60,MAX(MIN(D$60-SUM($Q$110:$U$110)-SUM($D$87:$P92),D75),0),D75)</f>
        <v>0</v>
      </c>
      <c r="E93" s="232">
        <f ca="1">IF(SUM($D$87:$P92)+SUM($Q$110:$U$110)+E75&gt;E$60,MAX(MIN(E$60-SUM($Q$110:$U$110)-SUM($D$87:$P92),E75),0),E75)</f>
        <v>0</v>
      </c>
      <c r="F93" s="232">
        <f ca="1">IF(SUM($D$87:$P92)+SUM($Q$110:$U$110)+F75&gt;F$60,MAX(MIN(F$60-SUM($Q$110:$U$110)-SUM($D$87:$P92),F75),0),F75)</f>
        <v>0</v>
      </c>
      <c r="G93" s="232">
        <f ca="1">IF(SUM($D$87:$P92)+SUM($Q$110:$U$110)+G75&gt;G$60,MAX(MIN(G$60-SUM($Q$110:$U$110)-SUM($D$87:$P92),G75),0),G75)</f>
        <v>0</v>
      </c>
      <c r="H93" s="232">
        <f ca="1">IF(SUM($D$87:$P92)+SUM($Q$110:$U$110)+H75&gt;H$60,MAX(MIN(H$60-SUM($Q$110:$U$110)-SUM($D$87:$P92),H75),0),H75)</f>
        <v>0</v>
      </c>
      <c r="I93" s="232">
        <f ca="1">IF(SUM($D$87:$P92)+SUM($Q$110:$U$110)+I75&gt;I$60,MAX(MIN(I$60-SUM($Q$110:$U$110)-SUM($D$87:$P92),I75),0),I75)</f>
        <v>0</v>
      </c>
      <c r="J93" s="232">
        <f ca="1">IF(SUM($D$87:$P92)+SUM($Q$110:$U$110)+J75&gt;J$60,MAX(MIN(J$60-SUM($Q$110:$U$110)-SUM($D$87:$P92),J75),0),J75)</f>
        <v>0</v>
      </c>
      <c r="K93" s="232">
        <f ca="1">IF(SUM($D$87:$P92)+SUM($Q$110:$U$110)+K75&gt;K$60,MAX(MIN(K$60-SUM($Q$110:$U$110)-SUM($D$87:$P92),K75),0),K75)</f>
        <v>0</v>
      </c>
      <c r="L93" s="232">
        <f ca="1">IF(SUM($D$87:$P92)+SUM($Q$110:$U$110)+L75&gt;L$60,MAX(MIN(L$60-SUM($Q$110:$U$110)-SUM($D$87:$P92),L75),0),L75)</f>
        <v>0</v>
      </c>
      <c r="M93" s="232">
        <f ca="1">IF(SUM($D$87:$P92)+SUM($Q$110:$U$110)+M75&gt;M$60,MAX(MIN(M$60-SUM($Q$110:$U$110)-SUM($D$87:$P92),M75),0),M75)</f>
        <v>0</v>
      </c>
      <c r="N93" s="232">
        <f ca="1">IF(SUM($D$87:$P92)+SUM($Q$110:$U$110)+N75&gt;N$60,MAX(MIN(N$60-SUM($Q$110:$U$110)-SUM($D$87:$P92),N75),0),N75)</f>
        <v>0</v>
      </c>
      <c r="O93" s="232">
        <f ca="1">IF(SUM($D$87:$P92)+SUM($Q$110:$U$110)+O75&gt;O$60,MAX(MIN(O$60-SUM($Q$110:$U$110)-SUM($D$87:$P92),O75),0),O75)</f>
        <v>0</v>
      </c>
      <c r="P93" s="232">
        <f ca="1">IF(SUM($D$87:$P92)+SUM($Q$110:$U$110)+P75&gt;P$60,MAX(MIN(P$60-SUM($Q$110:$U$110)-SUM($D$87:$P92),P75),0),P75)</f>
        <v>0</v>
      </c>
      <c r="Q93" s="228">
        <f ca="1">IF(SUM($M$87:$U92)&lt;Q$60,MIN(Q$60-SUM($M$87:$U92),Q75),0)</f>
        <v>0</v>
      </c>
      <c r="R93" s="228">
        <f ca="1">IF(SUM($M$87:$U92)&lt;R$60,MIN(R$60-SUM($M$87:$U92),R75),0)</f>
        <v>0</v>
      </c>
      <c r="S93" s="228">
        <f ca="1">IF(SUM($M$87:$U92)&lt;S$60,MIN(S$60-SUM($M$87:$U92),S75),0)</f>
        <v>0</v>
      </c>
      <c r="T93" s="228">
        <f ca="1">IF(SUM($M$87:$U92)&lt;T$60,MIN(T$60-SUM($M$87:$U92),T75),0)</f>
        <v>0</v>
      </c>
      <c r="U93" s="228">
        <f ca="1">IF(SUM($M$87:$U92)&lt;U$60,MIN(U$60-SUM($M$87:$U92),U75),0)</f>
        <v>0</v>
      </c>
      <c r="V93" s="5"/>
      <c r="W93" s="5"/>
      <c r="X93" s="177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</row>
    <row r="94" spans="1:55" s="125" customFormat="1">
      <c r="A94" s="224" t="s">
        <v>102</v>
      </c>
      <c r="C94" s="355">
        <v>8</v>
      </c>
      <c r="D94" s="232">
        <f ca="1">IF(SUM($D$87:$P93)+SUM($Q$110:$U$110)+D76&gt;D$60,MAX(MIN(D$60-SUM($Q$110:$U$110)-SUM($D$87:$P93),D76),0),D76)</f>
        <v>0</v>
      </c>
      <c r="E94" s="232">
        <f ca="1">IF(SUM($D$87:$P93)+SUM($Q$110:$U$110)+E76&gt;E$60,MAX(MIN(E$60-SUM($Q$110:$U$110)-SUM($D$87:$P93),E76),0),E76)</f>
        <v>0</v>
      </c>
      <c r="F94" s="232">
        <f ca="1">IF(SUM($D$87:$P93)+SUM($Q$110:$U$110)+F76&gt;F$60,MAX(MIN(F$60-SUM($Q$110:$U$110)-SUM($D$87:$P93),F76),0),F76)</f>
        <v>0</v>
      </c>
      <c r="G94" s="232">
        <f ca="1">IF(SUM($D$87:$P93)+SUM($Q$110:$U$110)+G76&gt;G$60,MAX(MIN(G$60-SUM($Q$110:$U$110)-SUM($D$87:$P93),G76),0),G76)</f>
        <v>0</v>
      </c>
      <c r="H94" s="232">
        <f ca="1">IF(SUM($D$87:$P93)+SUM($Q$110:$U$110)+H76&gt;H$60,MAX(MIN(H$60-SUM($Q$110:$U$110)-SUM($D$87:$P93),H76),0),H76)</f>
        <v>0</v>
      </c>
      <c r="I94" s="232">
        <f ca="1">IF(SUM($D$87:$P93)+SUM($Q$110:$U$110)+I76&gt;I$60,MAX(MIN(I$60-SUM($Q$110:$U$110)-SUM($D$87:$P93),I76),0),I76)</f>
        <v>0</v>
      </c>
      <c r="J94" s="232">
        <f ca="1">IF(SUM($D$87:$P93)+SUM($Q$110:$U$110)+J76&gt;J$60,MAX(MIN(J$60-SUM($Q$110:$U$110)-SUM($D$87:$P93),J76),0),J76)</f>
        <v>0</v>
      </c>
      <c r="K94" s="232">
        <f ca="1">IF(SUM($D$87:$P93)+SUM($Q$110:$U$110)+K76&gt;K$60,MAX(MIN(K$60-SUM($Q$110:$U$110)-SUM($D$87:$P93),K76),0),K76)</f>
        <v>0</v>
      </c>
      <c r="L94" s="232">
        <f ca="1">IF(SUM($D$87:$P93)+SUM($Q$110:$U$110)+L76&gt;L$60,MAX(MIN(L$60-SUM($Q$110:$U$110)-SUM($D$87:$P93),L76),0),L76)</f>
        <v>0</v>
      </c>
      <c r="M94" s="232">
        <f ca="1">IF(SUM($D$87:$P93)+SUM($Q$110:$U$110)+M76&gt;M$60,MAX(MIN(M$60-SUM($Q$110:$U$110)-SUM($D$87:$P93),M76),0),M76)</f>
        <v>0</v>
      </c>
      <c r="N94" s="232">
        <f ca="1">IF(SUM($D$87:$P93)+SUM($Q$110:$U$110)+N76&gt;N$60,MAX(MIN(N$60-SUM($Q$110:$U$110)-SUM($D$87:$P93),N76),0),N76)</f>
        <v>0</v>
      </c>
      <c r="O94" s="232">
        <f ca="1">IF(SUM($D$87:$P93)+SUM($Q$110:$U$110)+O76&gt;O$60,MAX(MIN(O$60-SUM($Q$110:$U$110)-SUM($D$87:$P93),O76),0),O76)</f>
        <v>0</v>
      </c>
      <c r="P94" s="232">
        <f ca="1">IF(SUM($D$87:$P93)+SUM($Q$110:$U$110)+P76&gt;P$60,MAX(MIN(P$60-SUM($Q$110:$U$110)-SUM($D$87:$P93),P76),0),P76)</f>
        <v>0</v>
      </c>
      <c r="Q94" s="228">
        <f ca="1">IF(SUM($M$87:$U93)&lt;Q$60,MIN(Q$60-SUM($M$87:$U93),Q76),0)</f>
        <v>0</v>
      </c>
      <c r="R94" s="228">
        <f ca="1">IF(SUM($M$87:$U93)&lt;R$60,MIN(R$60-SUM($M$87:$U93),R76),0)</f>
        <v>0</v>
      </c>
      <c r="S94" s="228">
        <f ca="1">IF(SUM($M$87:$U93)&lt;S$60,MIN(S$60-SUM($M$87:$U93),S76),0)</f>
        <v>0</v>
      </c>
      <c r="T94" s="228">
        <f ca="1">IF(SUM($M$87:$U93)&lt;T$60,MIN(T$60-SUM($M$87:$U93),T76),0)</f>
        <v>0</v>
      </c>
      <c r="U94" s="228">
        <f ca="1">IF(SUM($M$87:$U93)&lt;U$60,MIN(U$60-SUM($M$87:$U93),U76),0)</f>
        <v>0</v>
      </c>
      <c r="V94" s="5"/>
      <c r="W94" s="5"/>
      <c r="X94" s="177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</row>
    <row r="95" spans="1:55" s="125" customFormat="1">
      <c r="A95" s="224" t="s">
        <v>102</v>
      </c>
      <c r="C95" s="355">
        <v>9</v>
      </c>
      <c r="D95" s="232">
        <f ca="1">IF(SUM($D$87:$P94)+SUM($Q$110:$U$110)+D77&gt;D$60,MAX(MIN(D$60-SUM($Q$110:$U$110)-SUM($D$87:$P94),D77),0),D77)</f>
        <v>0</v>
      </c>
      <c r="E95" s="232">
        <f ca="1">IF(SUM($D$87:$P94)+SUM($Q$110:$U$110)+E77&gt;E$60,MAX(MIN(E$60-SUM($Q$110:$U$110)-SUM($D$87:$P94),E77),0),E77)</f>
        <v>0</v>
      </c>
      <c r="F95" s="232">
        <f ca="1">IF(SUM($D$87:$P94)+SUM($Q$110:$U$110)+F77&gt;F$60,MAX(MIN(F$60-SUM($Q$110:$U$110)-SUM($D$87:$P94),F77),0),F77)</f>
        <v>0</v>
      </c>
      <c r="G95" s="232">
        <f ca="1">IF(SUM($D$87:$P94)+SUM($Q$110:$U$110)+G77&gt;G$60,MAX(MIN(G$60-SUM($Q$110:$U$110)-SUM($D$87:$P94),G77),0),G77)</f>
        <v>0</v>
      </c>
      <c r="H95" s="232">
        <f ca="1">IF(SUM($D$87:$P94)+SUM($Q$110:$U$110)+H77&gt;H$60,MAX(MIN(H$60-SUM($Q$110:$U$110)-SUM($D$87:$P94),H77),0),H77)</f>
        <v>0</v>
      </c>
      <c r="I95" s="232">
        <f ca="1">IF(SUM($D$87:$P94)+SUM($Q$110:$U$110)+I77&gt;I$60,MAX(MIN(I$60-SUM($Q$110:$U$110)-SUM($D$87:$P94),I77),0),I77)</f>
        <v>0</v>
      </c>
      <c r="J95" s="232">
        <f ca="1">IF(SUM($D$87:$P94)+SUM($Q$110:$U$110)+J77&gt;J$60,MAX(MIN(J$60-SUM($Q$110:$U$110)-SUM($D$87:$P94),J77),0),J77)</f>
        <v>0</v>
      </c>
      <c r="K95" s="232">
        <f ca="1">IF(SUM($D$87:$P94)+SUM($Q$110:$U$110)+K77&gt;K$60,MAX(MIN(K$60-SUM($Q$110:$U$110)-SUM($D$87:$P94),K77),0),K77)</f>
        <v>0</v>
      </c>
      <c r="L95" s="232">
        <f ca="1">IF(SUM($D$87:$P94)+SUM($Q$110:$U$110)+L77&gt;L$60,MAX(MIN(L$60-SUM($Q$110:$U$110)-SUM($D$87:$P94),L77),0),L77)</f>
        <v>0</v>
      </c>
      <c r="M95" s="232">
        <f ca="1">IF(SUM($D$87:$P94)+SUM($Q$110:$U$110)+M77&gt;M$60,MAX(MIN(M$60-SUM($Q$110:$U$110)-SUM($D$87:$P94),M77),0),M77)</f>
        <v>0</v>
      </c>
      <c r="N95" s="232">
        <f ca="1">IF(SUM($D$87:$P94)+SUM($Q$110:$U$110)+N77&gt;N$60,MAX(MIN(N$60-SUM($Q$110:$U$110)-SUM($D$87:$P94),N77),0),N77)</f>
        <v>0</v>
      </c>
      <c r="O95" s="232">
        <f ca="1">IF(SUM($D$87:$P94)+SUM($Q$110:$U$110)+O77&gt;O$60,MAX(MIN(O$60-SUM($Q$110:$U$110)-SUM($D$87:$P94),O77),0),O77)</f>
        <v>0</v>
      </c>
      <c r="P95" s="232">
        <f ca="1">IF(SUM($D$87:$P94)+SUM($Q$110:$U$110)+P77&gt;P$60,MAX(MIN(P$60-SUM($Q$110:$U$110)-SUM($D$87:$P94),P77),0),P77)</f>
        <v>0</v>
      </c>
      <c r="Q95" s="228">
        <f ca="1">IF(SUM($M$87:$U94)&lt;Q$60,MIN(Q$60-SUM($M$87:$U94),Q77),0)</f>
        <v>0</v>
      </c>
      <c r="R95" s="228">
        <f ca="1">IF(SUM($M$87:$U94)&lt;R$60,MIN(R$60-SUM($M$87:$U94),R77),0)</f>
        <v>0</v>
      </c>
      <c r="S95" s="228">
        <f ca="1">IF(SUM($M$87:$U94)&lt;S$60,MIN(S$60-SUM($M$87:$U94),S77),0)</f>
        <v>0</v>
      </c>
      <c r="T95" s="228">
        <f ca="1">IF(SUM($M$87:$U94)&lt;T$60,MIN(T$60-SUM($M$87:$U94),T77),0)</f>
        <v>0</v>
      </c>
      <c r="U95" s="228">
        <f ca="1">IF(SUM($M$87:$U94)&lt;U$60,MIN(U$60-SUM($M$87:$U94),U77),0)</f>
        <v>0</v>
      </c>
      <c r="V95" s="5"/>
      <c r="W95" s="5"/>
      <c r="X95" s="177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</row>
    <row r="96" spans="1:55" s="125" customFormat="1">
      <c r="A96" s="224" t="s">
        <v>102</v>
      </c>
      <c r="C96" s="355">
        <v>10</v>
      </c>
      <c r="D96" s="232">
        <f ca="1">IF(SUM($D$87:$P95)+SUM($Q$110:$U$110)+D78&gt;D$60,MAX(MIN(D$60-SUM($Q$110:$U$110)-SUM($D$87:$P95),D78),0),D78)</f>
        <v>0</v>
      </c>
      <c r="E96" s="232">
        <f ca="1">IF(SUM($D$87:$P95)+SUM($Q$110:$U$110)+E78&gt;E$60,MAX(MIN(E$60-SUM($Q$110:$U$110)-SUM($D$87:$P95),E78),0),E78)</f>
        <v>0</v>
      </c>
      <c r="F96" s="232">
        <f ca="1">IF(SUM($D$87:$P95)+SUM($Q$110:$U$110)+F78&gt;F$60,MAX(MIN(F$60-SUM($Q$110:$U$110)-SUM($D$87:$P95),F78),0),F78)</f>
        <v>0</v>
      </c>
      <c r="G96" s="232">
        <f ca="1">IF(SUM($D$87:$P95)+SUM($Q$110:$U$110)+G78&gt;G$60,MAX(MIN(G$60-SUM($Q$110:$U$110)-SUM($D$87:$P95),G78),0),G78)</f>
        <v>0</v>
      </c>
      <c r="H96" s="232">
        <f ca="1">IF(SUM($D$87:$P95)+SUM($Q$110:$U$110)+H78&gt;H$60,MAX(MIN(H$60-SUM($Q$110:$U$110)-SUM($D$87:$P95),H78),0),H78)</f>
        <v>0</v>
      </c>
      <c r="I96" s="232">
        <f ca="1">IF(SUM($D$87:$P95)+SUM($Q$110:$U$110)+I78&gt;I$60,MAX(MIN(I$60-SUM($Q$110:$U$110)-SUM($D$87:$P95),I78),0),I78)</f>
        <v>0</v>
      </c>
      <c r="J96" s="232">
        <f ca="1">IF(SUM($D$87:$P95)+SUM($Q$110:$U$110)+J78&gt;J$60,MAX(MIN(J$60-SUM($Q$110:$U$110)-SUM($D$87:$P95),J78),0),J78)</f>
        <v>0</v>
      </c>
      <c r="K96" s="232">
        <f ca="1">IF(SUM($D$87:$P95)+SUM($Q$110:$U$110)+K78&gt;K$60,MAX(MIN(K$60-SUM($Q$110:$U$110)-SUM($D$87:$P95),K78),0),K78)</f>
        <v>0</v>
      </c>
      <c r="L96" s="232">
        <f ca="1">IF(SUM($D$87:$P95)+SUM($Q$110:$U$110)+L78&gt;L$60,MAX(MIN(L$60-SUM($Q$110:$U$110)-SUM($D$87:$P95),L78),0),L78)</f>
        <v>0</v>
      </c>
      <c r="M96" s="232">
        <f ca="1">IF(SUM($D$87:$P95)+SUM($Q$110:$U$110)+M78&gt;M$60,MAX(MIN(M$60-SUM($Q$110:$U$110)-SUM($D$87:$P95),M78),0),M78)</f>
        <v>0</v>
      </c>
      <c r="N96" s="232">
        <f ca="1">IF(SUM($D$87:$P95)+SUM($Q$110:$U$110)+N78&gt;N$60,MAX(MIN(N$60-SUM($Q$110:$U$110)-SUM($D$87:$P95),N78),0),N78)</f>
        <v>0</v>
      </c>
      <c r="O96" s="232">
        <f ca="1">IF(SUM($D$87:$P95)+SUM($Q$110:$U$110)+O78&gt;O$60,MAX(MIN(O$60-SUM($Q$110:$U$110)-SUM($D$87:$P95),O78),0),O78)</f>
        <v>0</v>
      </c>
      <c r="P96" s="232">
        <f ca="1">IF(SUM($D$87:$P95)+SUM($Q$110:$U$110)+P78&gt;P$60,MAX(MIN(P$60-SUM($Q$110:$U$110)-SUM($D$87:$P95),P78),0),P78)</f>
        <v>0</v>
      </c>
      <c r="Q96" s="228">
        <f ca="1">IF(SUM($M$87:$U95)&lt;Q$60,MIN(Q$60-SUM($M$87:$U95),Q78),0)</f>
        <v>0</v>
      </c>
      <c r="R96" s="228">
        <f ca="1">IF(SUM($M$87:$U95)&lt;R$60,MIN(R$60-SUM($M$87:$U95),R78),0)</f>
        <v>0</v>
      </c>
      <c r="S96" s="228">
        <f ca="1">IF(SUM($M$87:$U95)&lt;S$60,MIN(S$60-SUM($M$87:$U95),S78),0)</f>
        <v>0</v>
      </c>
      <c r="T96" s="228">
        <f ca="1">IF(SUM($M$87:$U95)&lt;T$60,MIN(T$60-SUM($M$87:$U95),T78),0)</f>
        <v>0</v>
      </c>
      <c r="U96" s="228">
        <f ca="1">IF(SUM($M$87:$U95)&lt;U$60,MIN(U$60-SUM($M$87:$U95),U78),0)</f>
        <v>0</v>
      </c>
      <c r="V96" s="5"/>
      <c r="W96" s="5"/>
      <c r="X96" s="177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</row>
    <row r="97" spans="1:55" s="125" customFormat="1">
      <c r="A97" s="224" t="s">
        <v>102</v>
      </c>
      <c r="C97" s="355">
        <v>11</v>
      </c>
      <c r="D97" s="232">
        <f ca="1">IF(SUM($D$87:$P96)+SUM($Q$110:$U$110)+D79&gt;D$60,MAX(MIN(D$60-SUM($Q$110:$U$110)-SUM($D$87:$P96),D79),0),D79)</f>
        <v>0</v>
      </c>
      <c r="E97" s="232">
        <f ca="1">IF(SUM($D$87:$P96)+SUM($Q$110:$U$110)+E79&gt;E$60,MAX(MIN(E$60-SUM($Q$110:$U$110)-SUM($D$87:$P96),E79),0),E79)</f>
        <v>0</v>
      </c>
      <c r="F97" s="232">
        <f ca="1">IF(SUM($D$87:$P96)+SUM($Q$110:$U$110)+F79&gt;F$60,MAX(MIN(F$60-SUM($Q$110:$U$110)-SUM($D$87:$P96),F79),0),F79)</f>
        <v>0</v>
      </c>
      <c r="G97" s="232">
        <f ca="1">IF(SUM($D$87:$P96)+SUM($Q$110:$U$110)+G79&gt;G$60,MAX(MIN(G$60-SUM($Q$110:$U$110)-SUM($D$87:$P96),G79),0),G79)</f>
        <v>0</v>
      </c>
      <c r="H97" s="232">
        <f ca="1">IF(SUM($D$87:$P96)+SUM($Q$110:$U$110)+H79&gt;H$60,MAX(MIN(H$60-SUM($Q$110:$U$110)-SUM($D$87:$P96),H79),0),H79)</f>
        <v>0</v>
      </c>
      <c r="I97" s="232">
        <f ca="1">IF(SUM($D$87:$P96)+SUM($Q$110:$U$110)+I79&gt;I$60,MAX(MIN(I$60-SUM($Q$110:$U$110)-SUM($D$87:$P96),I79),0),I79)</f>
        <v>0</v>
      </c>
      <c r="J97" s="232">
        <f ca="1">IF(SUM($D$87:$P96)+SUM($Q$110:$U$110)+J79&gt;J$60,MAX(MIN(J$60-SUM($Q$110:$U$110)-SUM($D$87:$P96),J79),0),J79)</f>
        <v>0</v>
      </c>
      <c r="K97" s="232">
        <f ca="1">IF(SUM($D$87:$P96)+SUM($Q$110:$U$110)+K79&gt;K$60,MAX(MIN(K$60-SUM($Q$110:$U$110)-SUM($D$87:$P96),K79),0),K79)</f>
        <v>0</v>
      </c>
      <c r="L97" s="232">
        <f ca="1">IF(SUM($D$87:$P96)+SUM($Q$110:$U$110)+L79&gt;L$60,MAX(MIN(L$60-SUM($Q$110:$U$110)-SUM($D$87:$P96),L79),0),L79)</f>
        <v>0</v>
      </c>
      <c r="M97" s="232">
        <f ca="1">IF(SUM($D$87:$P96)+SUM($Q$110:$U$110)+M79&gt;M$60,MAX(MIN(M$60-SUM($Q$110:$U$110)-SUM($D$87:$P96),M79),0),M79)</f>
        <v>0</v>
      </c>
      <c r="N97" s="232">
        <f ca="1">IF(SUM($D$87:$P96)+SUM($Q$110:$U$110)+N79&gt;N$60,MAX(MIN(N$60-SUM($Q$110:$U$110)-SUM($D$87:$P96),N79),0),N79)</f>
        <v>0</v>
      </c>
      <c r="O97" s="232">
        <f ca="1">IF(SUM($D$87:$P96)+SUM($Q$110:$U$110)+O79&gt;O$60,MAX(MIN(O$60-SUM($Q$110:$U$110)-SUM($D$87:$P96),O79),0),O79)</f>
        <v>0</v>
      </c>
      <c r="P97" s="232">
        <f ca="1">IF(SUM($D$87:$P96)+SUM($Q$110:$U$110)+P79&gt;P$60,MAX(MIN(P$60-SUM($Q$110:$U$110)-SUM($D$87:$P96),P79),0),P79)</f>
        <v>0</v>
      </c>
      <c r="Q97" s="228">
        <f ca="1">IF(SUM($M$87:$U96)&lt;Q$60,MIN(Q$60-SUM($M$87:$U96),Q79),0)</f>
        <v>0</v>
      </c>
      <c r="R97" s="228">
        <f ca="1">IF(SUM($M$87:$U96)&lt;R$60,MIN(R$60-SUM($M$87:$U96),R79),0)</f>
        <v>0</v>
      </c>
      <c r="S97" s="228">
        <f ca="1">IF(SUM($M$87:$U96)&lt;S$60,MIN(S$60-SUM($M$87:$U96),S79),0)</f>
        <v>0</v>
      </c>
      <c r="T97" s="228">
        <f ca="1">IF(SUM($M$87:$U96)&lt;T$60,MIN(T$60-SUM($M$87:$U96),T79),0)</f>
        <v>0</v>
      </c>
      <c r="U97" s="228">
        <f ca="1">IF(SUM($M$87:$U96)&lt;U$60,MIN(U$60-SUM($M$87:$U96),U79),0)</f>
        <v>0</v>
      </c>
      <c r="V97" s="5"/>
      <c r="W97" s="5"/>
      <c r="X97" s="177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</row>
    <row r="98" spans="1:55" s="125" customFormat="1">
      <c r="A98" s="224" t="s">
        <v>102</v>
      </c>
      <c r="C98" s="355">
        <v>12</v>
      </c>
      <c r="D98" s="232">
        <f ca="1">IF(SUM($D$87:$P97)+SUM($Q$110:$U$110)+D80&gt;D$60,MAX(MIN(D$60-SUM($Q$110:$U$110)-SUM($D$87:$P97),D80),0),D80)</f>
        <v>0</v>
      </c>
      <c r="E98" s="232">
        <f ca="1">IF(SUM($D$87:$P97)+SUM($Q$110:$U$110)+E80&gt;E$60,MAX(MIN(E$60-SUM($Q$110:$U$110)-SUM($D$87:$P97),E80),0),E80)</f>
        <v>0</v>
      </c>
      <c r="F98" s="232">
        <f ca="1">IF(SUM($D$87:$P97)+SUM($Q$110:$U$110)+F80&gt;F$60,MAX(MIN(F$60-SUM($Q$110:$U$110)-SUM($D$87:$P97),F80),0),F80)</f>
        <v>0</v>
      </c>
      <c r="G98" s="232">
        <f ca="1">IF(SUM($D$87:$P97)+SUM($Q$110:$U$110)+G80&gt;G$60,MAX(MIN(G$60-SUM($Q$110:$U$110)-SUM($D$87:$P97),G80),0),G80)</f>
        <v>0</v>
      </c>
      <c r="H98" s="232">
        <f ca="1">IF(SUM($D$87:$P97)+SUM($Q$110:$U$110)+H80&gt;H$60,MAX(MIN(H$60-SUM($Q$110:$U$110)-SUM($D$87:$P97),H80),0),H80)</f>
        <v>0</v>
      </c>
      <c r="I98" s="232">
        <f ca="1">IF(SUM($D$87:$P97)+SUM($Q$110:$U$110)+I80&gt;I$60,MAX(MIN(I$60-SUM($Q$110:$U$110)-SUM($D$87:$P97),I80),0),I80)</f>
        <v>0</v>
      </c>
      <c r="J98" s="232">
        <f ca="1">IF(SUM($D$87:$P97)+SUM($Q$110:$U$110)+J80&gt;J$60,MAX(MIN(J$60-SUM($Q$110:$U$110)-SUM($D$87:$P97),J80),0),J80)</f>
        <v>0</v>
      </c>
      <c r="K98" s="232">
        <f ca="1">IF(SUM($D$87:$P97)+SUM($Q$110:$U$110)+K80&gt;K$60,MAX(MIN(K$60-SUM($Q$110:$U$110)-SUM($D$87:$P97),K80),0),K80)</f>
        <v>0</v>
      </c>
      <c r="L98" s="232">
        <f ca="1">IF(SUM($D$87:$P97)+SUM($Q$110:$U$110)+L80&gt;L$60,MAX(MIN(L$60-SUM($Q$110:$U$110)-SUM($D$87:$P97),L80),0),L80)</f>
        <v>0</v>
      </c>
      <c r="M98" s="232">
        <f ca="1">IF(SUM($D$87:$P97)+SUM($Q$110:$U$110)+M80&gt;M$60,MAX(MIN(M$60-SUM($Q$110:$U$110)-SUM($D$87:$P97),M80),0),M80)</f>
        <v>0</v>
      </c>
      <c r="N98" s="232">
        <f ca="1">IF(SUM($D$87:$P97)+SUM($Q$110:$U$110)+N80&gt;N$60,MAX(MIN(N$60-SUM($Q$110:$U$110)-SUM($D$87:$P97),N80),0),N80)</f>
        <v>0</v>
      </c>
      <c r="O98" s="232">
        <f ca="1">IF(SUM($D$87:$P97)+SUM($Q$110:$U$110)+O80&gt;O$60,MAX(MIN(O$60-SUM($Q$110:$U$110)-SUM($D$87:$P97),O80),0),O80)</f>
        <v>0</v>
      </c>
      <c r="P98" s="232">
        <f ca="1">IF(SUM($D$87:$P97)+SUM($Q$110:$U$110)+P80&gt;P$60,MAX(MIN(P$60-SUM($Q$110:$U$110)-SUM($D$87:$P97),P80),0),P80)</f>
        <v>0</v>
      </c>
      <c r="Q98" s="228">
        <f ca="1">IF(SUM($M$87:$U97)&lt;Q$60,MIN(Q$60-SUM($M$87:$U97),Q80),0)</f>
        <v>0</v>
      </c>
      <c r="R98" s="228">
        <f ca="1">IF(SUM($M$87:$U97)&lt;R$60,MIN(R$60-SUM($M$87:$U97),R80),0)</f>
        <v>0</v>
      </c>
      <c r="S98" s="228">
        <f ca="1">IF(SUM($M$87:$U97)&lt;S$60,MIN(S$60-SUM($M$87:$U97),S80),0)</f>
        <v>0</v>
      </c>
      <c r="T98" s="228">
        <f ca="1">IF(SUM($M$87:$U97)&lt;T$60,MIN(T$60-SUM($M$87:$U97),T80),0)</f>
        <v>0</v>
      </c>
      <c r="U98" s="228">
        <f ca="1">IF(SUM($M$87:$U97)&lt;U$60,MIN(U$60-SUM($M$87:$U97),U80),0)</f>
        <v>0</v>
      </c>
      <c r="V98" s="5"/>
      <c r="W98" s="5"/>
      <c r="X98" s="177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</row>
    <row r="99" spans="1:55" s="125" customFormat="1">
      <c r="A99" s="224" t="s">
        <v>102</v>
      </c>
      <c r="C99" s="355">
        <v>13</v>
      </c>
      <c r="D99" s="232">
        <f ca="1">IF(SUM($D$87:$P98)+SUM($Q$110:$U$110)+D81&gt;D$60,MAX(MIN(D$60-SUM($Q$110:$U$110)-SUM($D$87:$P98),D81),0),D81)</f>
        <v>0</v>
      </c>
      <c r="E99" s="232">
        <f ca="1">IF(SUM($D$87:$P98)+SUM($Q$110:$U$110)+E81&gt;E$60,MAX(MIN(E$60-SUM($Q$110:$U$110)-SUM($D$87:$P98),E81),0),E81)</f>
        <v>0</v>
      </c>
      <c r="F99" s="232">
        <f ca="1">IF(SUM($D$87:$P98)+SUM($Q$110:$U$110)+F81&gt;F$60,MAX(MIN(F$60-SUM($Q$110:$U$110)-SUM($D$87:$P98),F81),0),F81)</f>
        <v>0</v>
      </c>
      <c r="G99" s="232">
        <f ca="1">IF(SUM($D$87:$P98)+SUM($Q$110:$U$110)+G81&gt;G$60,MAX(MIN(G$60-SUM($Q$110:$U$110)-SUM($D$87:$P98),G81),0),G81)</f>
        <v>0</v>
      </c>
      <c r="H99" s="232">
        <f ca="1">IF(SUM($D$87:$P98)+SUM($Q$110:$U$110)+H81&gt;H$60,MAX(MIN(H$60-SUM($Q$110:$U$110)-SUM($D$87:$P98),H81),0),H81)</f>
        <v>0</v>
      </c>
      <c r="I99" s="232">
        <f ca="1">IF(SUM($D$87:$P98)+SUM($Q$110:$U$110)+I81&gt;I$60,MAX(MIN(I$60-SUM($Q$110:$U$110)-SUM($D$87:$P98),I81),0),I81)</f>
        <v>0</v>
      </c>
      <c r="J99" s="232">
        <f ca="1">IF(SUM($D$87:$P98)+SUM($Q$110:$U$110)+J81&gt;J$60,MAX(MIN(J$60-SUM($Q$110:$U$110)-SUM($D$87:$P98),J81),0),J81)</f>
        <v>0</v>
      </c>
      <c r="K99" s="232">
        <f ca="1">IF(SUM($D$87:$P98)+SUM($Q$110:$U$110)+K81&gt;K$60,MAX(MIN(K$60-SUM($Q$110:$U$110)-SUM($D$87:$P98),K81),0),K81)</f>
        <v>0</v>
      </c>
      <c r="L99" s="232">
        <f ca="1">IF(SUM($D$87:$P98)+SUM($Q$110:$U$110)+L81&gt;L$60,MAX(MIN(L$60-SUM($Q$110:$U$110)-SUM($D$87:$P98),L81),0),L81)</f>
        <v>0</v>
      </c>
      <c r="M99" s="232">
        <f ca="1">IF(SUM($D$87:$P98)+SUM($Q$110:$U$110)+M81&gt;M$60,MAX(MIN(M$60-SUM($Q$110:$U$110)-SUM($D$87:$P98),M81),0),M81)</f>
        <v>0</v>
      </c>
      <c r="N99" s="232">
        <f ca="1">IF(SUM($D$87:$P98)+SUM($Q$110:$U$110)+N81&gt;N$60,MAX(MIN(N$60-SUM($Q$110:$U$110)-SUM($D$87:$P98),N81),0),N81)</f>
        <v>0</v>
      </c>
      <c r="O99" s="232">
        <f ca="1">IF(SUM($D$87:$P98)+SUM($Q$110:$U$110)+O81&gt;O$60,MAX(MIN(O$60-SUM($Q$110:$U$110)-SUM($D$87:$P98),O81),0),O81)</f>
        <v>0</v>
      </c>
      <c r="P99" s="232">
        <f ca="1">IF(SUM($D$87:$P98)+SUM($Q$110:$U$110)+P81&gt;P$60,MAX(MIN(P$60-SUM($Q$110:$U$110)-SUM($D$87:$P98),P81),0),P81)</f>
        <v>0</v>
      </c>
      <c r="Q99" s="228">
        <f ca="1">IF(SUM($M$87:$U98)&lt;Q$60,MIN(Q$60-SUM($M$87:$U98),Q81),0)</f>
        <v>0</v>
      </c>
      <c r="R99" s="228">
        <f ca="1">IF(SUM($M$87:$U98)&lt;R$60,MIN(R$60-SUM($M$87:$U98),R81),0)</f>
        <v>0</v>
      </c>
      <c r="S99" s="228">
        <f ca="1">IF(SUM($M$87:$U98)&lt;S$60,MIN(S$60-SUM($M$87:$U98),S81),0)</f>
        <v>822.63900000000001</v>
      </c>
      <c r="T99" s="228">
        <f ca="1">IF(SUM($M$87:$U98)&lt;T$60,MIN(T$60-SUM($M$87:$U98),T81),0)</f>
        <v>822.63900000000001</v>
      </c>
      <c r="U99" s="228">
        <f ca="1">IF(SUM($M$87:$U98)&lt;U$60,MIN(U$60-SUM($M$87:$U98),U81),0)</f>
        <v>0</v>
      </c>
      <c r="V99" s="5"/>
      <c r="W99" s="5"/>
      <c r="X99" s="177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</row>
    <row r="100" spans="1:55" s="125" customFormat="1">
      <c r="A100" s="224" t="s">
        <v>102</v>
      </c>
      <c r="C100" s="355">
        <v>14</v>
      </c>
      <c r="D100" s="232">
        <f ca="1">IF(SUM($D$87:$P99)+SUM($Q$110:$U$110)+D82&gt;D$60,MAX(MIN(D$60-SUM($Q$110:$U$110)-SUM($D$87:$P99),D82),0),D82)</f>
        <v>0</v>
      </c>
      <c r="E100" s="232">
        <f ca="1">IF(SUM($D$87:$P99)+SUM($Q$110:$U$110)+E82&gt;E$60,MAX(MIN(E$60-SUM($Q$110:$U$110)-SUM($D$87:$P99),E82),0),E82)</f>
        <v>0</v>
      </c>
      <c r="F100" s="232">
        <f ca="1">IF(SUM($D$87:$P99)+SUM($Q$110:$U$110)+F82&gt;F$60,MAX(MIN(F$60-SUM($Q$110:$U$110)-SUM($D$87:$P99),F82),0),F82)</f>
        <v>0</v>
      </c>
      <c r="G100" s="232">
        <f ca="1">IF(SUM($D$87:$P99)+SUM($Q$110:$U$110)+G82&gt;G$60,MAX(MIN(G$60-SUM($Q$110:$U$110)-SUM($D$87:$P99),G82),0),G82)</f>
        <v>0</v>
      </c>
      <c r="H100" s="232">
        <f ca="1">IF(SUM($D$87:$P99)+SUM($Q$110:$U$110)+H82&gt;H$60,MAX(MIN(H$60-SUM($Q$110:$U$110)-SUM($D$87:$P99),H82),0),H82)</f>
        <v>0</v>
      </c>
      <c r="I100" s="232">
        <f ca="1">IF(SUM($D$87:$P99)+SUM($Q$110:$U$110)+I82&gt;I$60,MAX(MIN(I$60-SUM($Q$110:$U$110)-SUM($D$87:$P99),I82),0),I82)</f>
        <v>0</v>
      </c>
      <c r="J100" s="232">
        <f ca="1">IF(SUM($D$87:$P99)+SUM($Q$110:$U$110)+J82&gt;J$60,MAX(MIN(J$60-SUM($Q$110:$U$110)-SUM($D$87:$P99),J82),0),J82)</f>
        <v>0</v>
      </c>
      <c r="K100" s="232">
        <f ca="1">IF(SUM($D$87:$P99)+SUM($Q$110:$U$110)+K82&gt;K$60,MAX(MIN(K$60-SUM($Q$110:$U$110)-SUM($D$87:$P99),K82),0),K82)</f>
        <v>0</v>
      </c>
      <c r="L100" s="232">
        <f ca="1">IF(SUM($D$87:$P99)+SUM($Q$110:$U$110)+L82&gt;L$60,MAX(MIN(L$60-SUM($Q$110:$U$110)-SUM($D$87:$P99),L82),0),L82)</f>
        <v>0</v>
      </c>
      <c r="M100" s="232">
        <f ca="1">IF(SUM($D$87:$P99)+SUM($Q$110:$U$110)+M82&gt;M$60,MAX(MIN(M$60-SUM($Q$110:$U$110)-SUM($D$87:$P99),M82),0),M82)</f>
        <v>0</v>
      </c>
      <c r="N100" s="232">
        <f ca="1">IF(SUM($D$87:$P99)+SUM($Q$110:$U$110)+N82&gt;N$60,MAX(MIN(N$60-SUM($Q$110:$U$110)-SUM($D$87:$P99),N82),0),N82)</f>
        <v>0</v>
      </c>
      <c r="O100" s="232">
        <f ca="1">IF(SUM($D$87:$P99)+SUM($Q$110:$U$110)+O82&gt;O$60,MAX(MIN(O$60-SUM($Q$110:$U$110)-SUM($D$87:$P99),O82),0),O82)</f>
        <v>0</v>
      </c>
      <c r="P100" s="232">
        <f ca="1">IF(SUM($D$87:$P99)+SUM($Q$110:$U$110)+P82&gt;P$60,MAX(MIN(P$60-SUM($Q$110:$U$110)-SUM($D$87:$P99),P82),0),P82)</f>
        <v>0</v>
      </c>
      <c r="Q100" s="228">
        <f ca="1">IF(SUM($M$87:$U99)&lt;Q$60,MIN(Q$60-SUM($M$87:$U99),Q82),0)</f>
        <v>0</v>
      </c>
      <c r="R100" s="228">
        <f ca="1">IF(SUM($M$87:$U99)&lt;R$60,MIN(R$60-SUM($M$87:$U99),R82),0)</f>
        <v>0</v>
      </c>
      <c r="S100" s="228">
        <f ca="1">IF(SUM($M$87:$U99)&lt;S$60,MIN(S$60-SUM($M$87:$U99),S82),0)</f>
        <v>822.63900000000001</v>
      </c>
      <c r="T100" s="228">
        <f ca="1">IF(SUM($M$87:$U99)&lt;T$60,MIN(T$60-SUM($M$87:$U99),T82),0)</f>
        <v>822.63900000000001</v>
      </c>
      <c r="U100" s="228">
        <f ca="1">IF(SUM($M$87:$U99)&lt;U$60,MIN(U$60-SUM($M$87:$U99),U82),0)</f>
        <v>0</v>
      </c>
      <c r="V100" s="5"/>
      <c r="W100" s="5"/>
      <c r="X100" s="177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</row>
    <row r="101" spans="1:55" s="125" customFormat="1">
      <c r="A101" s="224" t="s">
        <v>102</v>
      </c>
      <c r="C101" s="355">
        <v>15</v>
      </c>
      <c r="D101" s="232">
        <f ca="1">IF(SUM($D$87:$P100)+SUM($Q$110:$U$110)+D83&gt;D$60,MAX(MIN(D$60-SUM($Q$110:$U$110)-SUM($D$87:$P100),D83),0),D83)</f>
        <v>0</v>
      </c>
      <c r="E101" s="232">
        <f ca="1">IF(SUM($D$87:$P100)+SUM($Q$110:$U$110)+E83&gt;E$60,MAX(MIN(E$60-SUM($Q$110:$U$110)-SUM($D$87:$P100),E83),0),E83)</f>
        <v>0</v>
      </c>
      <c r="F101" s="232">
        <f ca="1">IF(SUM($D$87:$P100)+SUM($Q$110:$U$110)+F83&gt;F$60,MAX(MIN(F$60-SUM($Q$110:$U$110)-SUM($D$87:$P100),F83),0),F83)</f>
        <v>0</v>
      </c>
      <c r="G101" s="232">
        <f ca="1">IF(SUM($D$87:$P100)+SUM($Q$110:$U$110)+G83&gt;G$60,MAX(MIN(G$60-SUM($Q$110:$U$110)-SUM($D$87:$P100),G83),0),G83)</f>
        <v>0</v>
      </c>
      <c r="H101" s="232">
        <f ca="1">IF(SUM($D$87:$P100)+SUM($Q$110:$U$110)+H83&gt;H$60,MAX(MIN(H$60-SUM($Q$110:$U$110)-SUM($D$87:$P100),H83),0),H83)</f>
        <v>0</v>
      </c>
      <c r="I101" s="232">
        <f ca="1">IF(SUM($D$87:$P100)+SUM($Q$110:$U$110)+I83&gt;I$60,MAX(MIN(I$60-SUM($Q$110:$U$110)-SUM($D$87:$P100),I83),0),I83)</f>
        <v>0</v>
      </c>
      <c r="J101" s="232">
        <f ca="1">IF(SUM($D$87:$P100)+SUM($Q$110:$U$110)+J83&gt;J$60,MAX(MIN(J$60-SUM($Q$110:$U$110)-SUM($D$87:$P100),J83),0),J83)</f>
        <v>0</v>
      </c>
      <c r="K101" s="232">
        <f ca="1">IF(SUM($D$87:$P100)+SUM($Q$110:$U$110)+K83&gt;K$60,MAX(MIN(K$60-SUM($Q$110:$U$110)-SUM($D$87:$P100),K83),0),K83)</f>
        <v>0</v>
      </c>
      <c r="L101" s="232">
        <f ca="1">IF(SUM($D$87:$P100)+SUM($Q$110:$U$110)+L83&gt;L$60,MAX(MIN(L$60-SUM($Q$110:$U$110)-SUM($D$87:$P100),L83),0),L83)</f>
        <v>0</v>
      </c>
      <c r="M101" s="232">
        <f ca="1">IF(SUM($D$87:$P100)+SUM($Q$110:$U$110)+M83&gt;M$60,MAX(MIN(M$60-SUM($Q$110:$U$110)-SUM($D$87:$P100),M83),0),M83)</f>
        <v>0</v>
      </c>
      <c r="N101" s="232">
        <f ca="1">IF(SUM($D$87:$P100)+SUM($Q$110:$U$110)+N83&gt;N$60,MAX(MIN(N$60-SUM($Q$110:$U$110)-SUM($D$87:$P100),N83),0),N83)</f>
        <v>0</v>
      </c>
      <c r="O101" s="232">
        <f ca="1">IF(SUM($D$87:$P100)+SUM($Q$110:$U$110)+O83&gt;O$60,MAX(MIN(O$60-SUM($Q$110:$U$110)-SUM($D$87:$P100),O83),0),O83)</f>
        <v>0</v>
      </c>
      <c r="P101" s="232">
        <f ca="1">IF(SUM($D$87:$P100)+SUM($Q$110:$U$110)+P83&gt;P$60,MAX(MIN(P$60-SUM($Q$110:$U$110)-SUM($D$87:$P100),P83),0),P83)</f>
        <v>0</v>
      </c>
      <c r="Q101" s="228">
        <f ca="1">IF(SUM($M$87:$U100)&lt;Q$60,MIN(Q$60-SUM($M$87:$U100),Q83),0)</f>
        <v>0</v>
      </c>
      <c r="R101" s="228">
        <f ca="1">IF(SUM($M$87:$U100)&lt;R$60,MIN(R$60-SUM($M$87:$U100),R83),0)</f>
        <v>0</v>
      </c>
      <c r="S101" s="228">
        <f ca="1">IF(SUM($M$87:$U100)&lt;S$60,MIN(S$60-SUM($M$87:$U100),S83),0)</f>
        <v>0</v>
      </c>
      <c r="T101" s="228">
        <f ca="1">IF(SUM($M$87:$U100)&lt;T$60,MIN(T$60-SUM($M$87:$U100),T83),0)</f>
        <v>0</v>
      </c>
      <c r="U101" s="228">
        <f ca="1">IF(SUM($M$87:$U100)&lt;U$60,MIN(U$60-SUM($M$87:$U100),U83),0)</f>
        <v>821.49000000000012</v>
      </c>
      <c r="V101" s="5"/>
      <c r="W101" s="5"/>
      <c r="X101" s="177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</row>
    <row r="102" spans="1:55" s="125" customFormat="1">
      <c r="A102" s="224" t="s">
        <v>102</v>
      </c>
      <c r="C102" s="355">
        <v>16</v>
      </c>
      <c r="D102" s="232">
        <f ca="1">IF(SUM($D$87:$P101)+SUM($Q$110:$U$110)+D84&gt;D$60,MAX(MIN(D$60-SUM($Q$110:$U$110)-SUM($D$87:$P101),D84),0),D84)</f>
        <v>0</v>
      </c>
      <c r="E102" s="232">
        <f ca="1">IF(SUM($D$87:$P101)+SUM($Q$110:$U$110)+E84&gt;E$60,MAX(MIN(E$60-SUM($Q$110:$U$110)-SUM($D$87:$P101),E84),0),E84)</f>
        <v>0</v>
      </c>
      <c r="F102" s="232">
        <f ca="1">IF(SUM($D$87:$P101)+SUM($Q$110:$U$110)+F84&gt;F$60,MAX(MIN(F$60-SUM($Q$110:$U$110)-SUM($D$87:$P101),F84),0),F84)</f>
        <v>0</v>
      </c>
      <c r="G102" s="232">
        <f ca="1">IF(SUM($D$87:$P101)+SUM($Q$110:$U$110)+G84&gt;G$60,MAX(MIN(G$60-SUM($Q$110:$U$110)-SUM($D$87:$P101),G84),0),G84)</f>
        <v>0</v>
      </c>
      <c r="H102" s="232">
        <f ca="1">IF(SUM($D$87:$P101)+SUM($Q$110:$U$110)+H84&gt;H$60,MAX(MIN(H$60-SUM($Q$110:$U$110)-SUM($D$87:$P101),H84),0),H84)</f>
        <v>0</v>
      </c>
      <c r="I102" s="232">
        <f ca="1">IF(SUM($D$87:$P101)+SUM($Q$110:$U$110)+I84&gt;I$60,MAX(MIN(I$60-SUM($Q$110:$U$110)-SUM($D$87:$P101),I84),0),I84)</f>
        <v>0</v>
      </c>
      <c r="J102" s="232">
        <f ca="1">IF(SUM($D$87:$P101)+SUM($Q$110:$U$110)+J84&gt;J$60,MAX(MIN(J$60-SUM($Q$110:$U$110)-SUM($D$87:$P101),J84),0),J84)</f>
        <v>0</v>
      </c>
      <c r="K102" s="232">
        <f ca="1">IF(SUM($D$87:$P101)+SUM($Q$110:$U$110)+K84&gt;K$60,MAX(MIN(K$60-SUM($Q$110:$U$110)-SUM($D$87:$P101),K84),0),K84)</f>
        <v>0</v>
      </c>
      <c r="L102" s="232">
        <f ca="1">IF(SUM($D$87:$P101)+SUM($Q$110:$U$110)+L84&gt;L$60,MAX(MIN(L$60-SUM($Q$110:$U$110)-SUM($D$87:$P101),L84),0),L84)</f>
        <v>0</v>
      </c>
      <c r="M102" s="232">
        <f ca="1">IF(SUM($D$87:$P101)+SUM($Q$110:$U$110)+M84&gt;M$60,MAX(MIN(M$60-SUM($Q$110:$U$110)-SUM($D$87:$P101),M84),0),M84)</f>
        <v>0</v>
      </c>
      <c r="N102" s="232">
        <f ca="1">IF(SUM($D$87:$P101)+SUM($Q$110:$U$110)+N84&gt;N$60,MAX(MIN(N$60-SUM($Q$110:$U$110)-SUM($D$87:$P101),N84),0),N84)</f>
        <v>0</v>
      </c>
      <c r="O102" s="232">
        <f ca="1">IF(SUM($D$87:$P101)+SUM($Q$110:$U$110)+O84&gt;O$60,MAX(MIN(O$60-SUM($Q$110:$U$110)-SUM($D$87:$P101),O84),0),O84)</f>
        <v>0</v>
      </c>
      <c r="P102" s="232">
        <f ca="1">IF(SUM($D$87:$P101)+SUM($Q$110:$U$110)+P84&gt;P$60,MAX(MIN(P$60-SUM($Q$110:$U$110)-SUM($D$87:$P101),P84),0),P84)</f>
        <v>0</v>
      </c>
      <c r="Q102" s="228">
        <f ca="1">IF(SUM($M$87:$U101)&lt;Q$60,MIN(Q$60-SUM($M$87:$U101),Q84),0)</f>
        <v>0</v>
      </c>
      <c r="R102" s="228">
        <f ca="1">IF(SUM($M$87:$U101)&lt;R$60,MIN(R$60-SUM($M$87:$U101),R84),0)</f>
        <v>0</v>
      </c>
      <c r="S102" s="228">
        <f ca="1">IF(SUM($M$87:$U101)&lt;S$60,MIN(S$60-SUM($M$87:$U101),S84),0)</f>
        <v>0</v>
      </c>
      <c r="T102" s="228">
        <f ca="1">IF(SUM($M$87:$U101)&lt;T$60,MIN(T$60-SUM($M$87:$U101),T84),0)</f>
        <v>0</v>
      </c>
      <c r="U102" s="228">
        <f ca="1">IF(SUM($M$87:$U101)&lt;U$60,MIN(U$60-SUM($M$87:$U101),U84),0)</f>
        <v>0</v>
      </c>
      <c r="V102" s="5"/>
      <c r="W102" s="5"/>
      <c r="X102" s="177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</row>
    <row r="103" spans="1:55" s="125" customFormat="1">
      <c r="A103" s="224" t="s">
        <v>102</v>
      </c>
      <c r="C103" s="355">
        <v>17</v>
      </c>
      <c r="D103" s="232">
        <f ca="1">IF(SUM($D$87:$P102)+SUM($Q$110:$U$110)+D85&gt;D$60,MAX(MIN(D$60-SUM($Q$110:$U$110)-SUM($D$87:$P102),D85),0),D85)</f>
        <v>0</v>
      </c>
      <c r="E103" s="232">
        <f ca="1">IF(SUM($D$87:$P102)+SUM($Q$110:$U$110)+E85&gt;E$60,MAX(MIN(E$60-SUM($Q$110:$U$110)-SUM($D$87:$P102),E85),0),E85)</f>
        <v>0</v>
      </c>
      <c r="F103" s="232">
        <f ca="1">IF(SUM($D$87:$P102)+SUM($Q$110:$U$110)+F85&gt;F$60,MAX(MIN(F$60-SUM($Q$110:$U$110)-SUM($D$87:$P102),F85),0),F85)</f>
        <v>0</v>
      </c>
      <c r="G103" s="232">
        <f ca="1">IF(SUM($D$87:$P102)+SUM($Q$110:$U$110)+G85&gt;G$60,MAX(MIN(G$60-SUM($Q$110:$U$110)-SUM($D$87:$P102),G85),0),G85)</f>
        <v>0</v>
      </c>
      <c r="H103" s="232">
        <f ca="1">IF(SUM($D$87:$P102)+SUM($Q$110:$U$110)+H85&gt;H$60,MAX(MIN(H$60-SUM($Q$110:$U$110)-SUM($D$87:$P102),H85),0),H85)</f>
        <v>0</v>
      </c>
      <c r="I103" s="232">
        <f ca="1">IF(SUM($D$87:$P102)+SUM($Q$110:$U$110)+I85&gt;I$60,MAX(MIN(I$60-SUM($Q$110:$U$110)-SUM($D$87:$P102),I85),0),I85)</f>
        <v>0</v>
      </c>
      <c r="J103" s="232">
        <f ca="1">IF(SUM($D$87:$P102)+SUM($Q$110:$U$110)+J85&gt;J$60,MAX(MIN(J$60-SUM($Q$110:$U$110)-SUM($D$87:$P102),J85),0),J85)</f>
        <v>0</v>
      </c>
      <c r="K103" s="232">
        <f ca="1">IF(SUM($D$87:$P102)+SUM($Q$110:$U$110)+K85&gt;K$60,MAX(MIN(K$60-SUM($Q$110:$U$110)-SUM($D$87:$P102),K85),0),K85)</f>
        <v>0</v>
      </c>
      <c r="L103" s="232">
        <f ca="1">IF(SUM($D$87:$P102)+SUM($Q$110:$U$110)+L85&gt;L$60,MAX(MIN(L$60-SUM($Q$110:$U$110)-SUM($D$87:$P102),L85),0),L85)</f>
        <v>0</v>
      </c>
      <c r="M103" s="232">
        <f ca="1">IF(SUM($D$87:$P102)+SUM($Q$110:$U$110)+M85&gt;M$60,MAX(MIN(M$60-SUM($Q$110:$U$110)-SUM($D$87:$P102),M85),0),M85)</f>
        <v>0</v>
      </c>
      <c r="N103" s="232">
        <f ca="1">IF(SUM($D$87:$P102)+SUM($Q$110:$U$110)+N85&gt;N$60,MAX(MIN(N$60-SUM($Q$110:$U$110)-SUM($D$87:$P102),N85),0),N85)</f>
        <v>0</v>
      </c>
      <c r="O103" s="232">
        <f ca="1">IF(SUM($D$87:$P102)+SUM($Q$110:$U$110)+O85&gt;O$60,MAX(MIN(O$60-SUM($Q$110:$U$110)-SUM($D$87:$P102),O85),0),O85)</f>
        <v>0</v>
      </c>
      <c r="P103" s="232">
        <f ca="1">IF(SUM($D$87:$P102)+SUM($Q$110:$U$110)+P85&gt;P$60,MAX(MIN(P$60-SUM($Q$110:$U$110)-SUM($D$87:$P102),P85),0),P85)</f>
        <v>0</v>
      </c>
      <c r="Q103" s="228">
        <f ca="1">IF(SUM($M$87:$U102)&lt;Q$60,MIN(Q$60-SUM($M$87:$U102),Q85),0)</f>
        <v>799.61599999999999</v>
      </c>
      <c r="R103" s="228">
        <f ca="1">IF(SUM($M$87:$U102)&lt;R$60,MIN(R$60-SUM($M$87:$U102),R85),0)</f>
        <v>799.61599999999999</v>
      </c>
      <c r="S103" s="228">
        <f ca="1">IF(SUM($M$87:$U102)&lt;S$60,MIN(S$60-SUM($M$87:$U102),S85),0)</f>
        <v>0</v>
      </c>
      <c r="T103" s="228">
        <f ca="1">IF(SUM($M$87:$U102)&lt;T$60,MIN(T$60-SUM($M$87:$U102),T85),0)</f>
        <v>0</v>
      </c>
      <c r="U103" s="228">
        <f ca="1">IF(SUM($M$87:$U102)&lt;U$60,MIN(U$60-SUM($M$87:$U102),U85),0)</f>
        <v>0</v>
      </c>
      <c r="V103" s="5"/>
      <c r="W103" s="5"/>
      <c r="X103" s="177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</row>
    <row r="104" spans="1:55" s="125" customFormat="1">
      <c r="A104" s="224" t="s">
        <v>102</v>
      </c>
      <c r="C104" s="355">
        <v>18</v>
      </c>
      <c r="D104" s="232">
        <f ca="1">IF(SUM($D$87:$P103)+SUM($Q$110:$U$110)+D86&gt;D$60,MAX(MIN(D$60-SUM($Q$110:$U$110)-SUM($D$87:$P103),D86),0),D86)</f>
        <v>0</v>
      </c>
      <c r="E104" s="232">
        <f ca="1">IF(SUM($D$87:$P103)+SUM($Q$110:$U$110)+E86&gt;E$60,MAX(MIN(E$60-SUM($Q$110:$U$110)-SUM($D$87:$P103),E86),0),E86)</f>
        <v>0</v>
      </c>
      <c r="F104" s="232">
        <f ca="1">IF(SUM($D$87:$P103)+SUM($Q$110:$U$110)+F86&gt;F$60,MAX(MIN(F$60-SUM($Q$110:$U$110)-SUM($D$87:$P103),F86),0),F86)</f>
        <v>0</v>
      </c>
      <c r="G104" s="232">
        <f ca="1">IF(SUM($D$87:$P103)+SUM($Q$110:$U$110)+G86&gt;G$60,MAX(MIN(G$60-SUM($Q$110:$U$110)-SUM($D$87:$P103),G86),0),G86)</f>
        <v>0</v>
      </c>
      <c r="H104" s="232">
        <f ca="1">IF(SUM($D$87:$P103)+SUM($Q$110:$U$110)+H86&gt;H$60,MAX(MIN(H$60-SUM($Q$110:$U$110)-SUM($D$87:$P103),H86),0),H86)</f>
        <v>0</v>
      </c>
      <c r="I104" s="232">
        <f ca="1">IF(SUM($D$87:$P103)+SUM($Q$110:$U$110)+I86&gt;I$60,MAX(MIN(I$60-SUM($Q$110:$U$110)-SUM($D$87:$P103),I86),0),I86)</f>
        <v>0</v>
      </c>
      <c r="J104" s="232">
        <f ca="1">IF(SUM($D$87:$P103)+SUM($Q$110:$U$110)+J86&gt;J$60,MAX(MIN(J$60-SUM($Q$110:$U$110)-SUM($D$87:$P103),J86),0),J86)</f>
        <v>0</v>
      </c>
      <c r="K104" s="232">
        <f ca="1">IF(SUM($D$87:$P103)+SUM($Q$110:$U$110)+K86&gt;K$60,MAX(MIN(K$60-SUM($Q$110:$U$110)-SUM($D$87:$P103),K86),0),K86)</f>
        <v>0</v>
      </c>
      <c r="L104" s="232">
        <f ca="1">IF(SUM($D$87:$P103)+SUM($Q$110:$U$110)+L86&gt;L$60,MAX(MIN(L$60-SUM($Q$110:$U$110)-SUM($D$87:$P103),L86),0),L86)</f>
        <v>0</v>
      </c>
      <c r="M104" s="232">
        <f ca="1">IF(SUM($D$87:$P103)+SUM($Q$110:$U$110)+M86&gt;M$60,MAX(MIN(M$60-SUM($Q$110:$U$110)-SUM($D$87:$P103),M86),0),M86)</f>
        <v>0</v>
      </c>
      <c r="N104" s="232">
        <f ca="1">IF(SUM($D$87:$P103)+SUM($Q$110:$U$110)+N86&gt;N$60,MAX(MIN(N$60-SUM($Q$110:$U$110)-SUM($D$87:$P103),N86),0),N86)</f>
        <v>0</v>
      </c>
      <c r="O104" s="232">
        <f ca="1">IF(SUM($D$87:$P103)+SUM($Q$110:$U$110)+O86&gt;O$60,MAX(MIN(O$60-SUM($Q$110:$U$110)-SUM($D$87:$P103),O86),0),O86)</f>
        <v>0</v>
      </c>
      <c r="P104" s="232">
        <f ca="1">IF(SUM($D$87:$P103)+SUM($Q$110:$U$110)+P86&gt;P$60,MAX(MIN(P$60-SUM($Q$110:$U$110)-SUM($D$87:$P103),P86),0),P86)</f>
        <v>0</v>
      </c>
      <c r="Q104" s="228">
        <f ca="1">IF(SUM($M$87:$U103)&lt;Q$60,MIN(Q$60-SUM($M$87:$U103),Q86),0)</f>
        <v>149.52199999999993</v>
      </c>
      <c r="R104" s="228">
        <f ca="1">IF(SUM($M$87:$U103)&lt;R$60,MIN(R$60-SUM($M$87:$U103),R86),0)</f>
        <v>149.52199999999993</v>
      </c>
      <c r="S104" s="228">
        <f ca="1">IF(SUM($M$87:$U103)&lt;S$60,MIN(S$60-SUM($M$87:$U103),S86),0)</f>
        <v>0</v>
      </c>
      <c r="T104" s="228">
        <f ca="1">IF(SUM($M$87:$U103)&lt;T$60,MIN(T$60-SUM($M$87:$U103),T86),0)</f>
        <v>0</v>
      </c>
      <c r="U104" s="228">
        <f ca="1">IF(SUM($M$87:$U103)&lt;U$60,MIN(U$60-SUM($M$87:$U103),U86),0)</f>
        <v>0</v>
      </c>
      <c r="V104" s="5"/>
      <c r="W104" s="5"/>
      <c r="X104" s="177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</row>
    <row r="105" spans="1:55" s="125" customFormat="1">
      <c r="A105" s="233" t="s">
        <v>103</v>
      </c>
      <c r="C105" s="356"/>
      <c r="D105" s="264">
        <f t="array" aca="1" ref="D105" ca="1">IF(AND(SUM($D87:$P104)+SUM($Q110:$U110)&lt;D112,SUM(D87:D104)&gt;=MAX($D87:$P104)),D112-SUM($D87:$P104)-SUM($Q110:$U110)+SUM(D87:D104),SUM(D87:D104))</f>
        <v>0</v>
      </c>
      <c r="E105" s="264">
        <f t="array" aca="1" ref="E105" ca="1">IF(AND(SUM($D87:$P104)+SUM($Q110:$U110)&lt;E112,SUM(E87:E104)&gt;=MAX($D87:$P104)),E112-SUM($D87:$P104)-SUM($Q110:$U110)+SUM(E87:E104),SUM(E87:E104))</f>
        <v>0</v>
      </c>
      <c r="F105" s="264">
        <f t="array" aca="1" ref="F105" ca="1">IF(AND(SUM($D87:$P104)+SUM($Q110:$U110)&lt;F112,SUM(F87:F104)&gt;=MAX($D87:$P104)),F112-SUM($D87:$P104)-SUM($Q110:$U110)+SUM(F87:F104),SUM(F87:F104))</f>
        <v>0</v>
      </c>
      <c r="G105" s="264">
        <f t="array" aca="1" ref="G105" ca="1">IF(AND(SUM($D87:$P104)+SUM($Q110:$U110)&lt;G112,SUM(G87:G104)&gt;=MAX($D87:$P104)),G112-SUM($D87:$P104)-SUM($Q110:$U110)+SUM(G87:G104),SUM(G87:G104))</f>
        <v>0</v>
      </c>
      <c r="H105" s="264">
        <f t="array" aca="1" ref="H105" ca="1">IF(AND(SUM($D87:$P104)+SUM($Q110:$U110)&lt;H112,SUM(H87:H104)&gt;=MAX($D87:$P104)),H112-SUM($D87:$P104)-SUM($Q110:$U110)+SUM(H87:H104),SUM(H87:H104))</f>
        <v>0</v>
      </c>
      <c r="I105" s="264">
        <f t="array" aca="1" ref="I105" ca="1">IF(AND(SUM($D87:$P104)+SUM($Q110:$U110)&lt;I112,SUM(I87:I104)&gt;=MAX($D87:$P104)),I112-SUM($D87:$P104)-SUM($Q110:$U110)+SUM(I87:I104),SUM(I87:I104))</f>
        <v>0</v>
      </c>
      <c r="J105" s="264">
        <f t="array" aca="1" ref="J105" ca="1">IF(AND(SUM($D87:$P104)+SUM($Q110:$U110)&lt;J112,SUM(J87:J104)&gt;=MAX($D87:$P104)),J112-SUM($D87:$P104)-SUM($Q110:$U110)+SUM(J87:J104),SUM(J87:J104))</f>
        <v>0</v>
      </c>
      <c r="K105" s="264">
        <f t="array" aca="1" ref="K105" ca="1">IF(AND(SUM($D87:$P104)+SUM($Q110:$U110)&lt;K112,SUM(K87:K104)&gt;=MAX($D87:$P104)),K112-SUM($D87:$P104)-SUM($Q110:$U110)+SUM(K87:K104),SUM(K87:K104))</f>
        <v>0</v>
      </c>
      <c r="L105" s="264">
        <f t="array" aca="1" ref="L105" ca="1">IF(AND(SUM($D87:$P104)+SUM($Q110:$U110)&lt;L112,SUM(L87:L104)&gt;=MAX($D87:$P104)),L112-SUM($D87:$P104)-SUM($Q110:$U110)+SUM(L87:L104),SUM(L87:L104))</f>
        <v>0</v>
      </c>
      <c r="M105" s="264">
        <f t="array" aca="1" ref="M105" ca="1">IF(AND(SUM($D87:$P104)+SUM($Q110:$U110)&lt;M112,SUM(M87:M104)&gt;=MAX($D87:$P104)),M112-SUM($D87:$P104)-SUM($Q110:$U110)+SUM(M87:M104),SUM(M87:M104))</f>
        <v>0</v>
      </c>
      <c r="N105" s="264">
        <f t="array" aca="1" ref="N105" ca="1">IF(AND(SUM($D87:$P104)+SUM($Q110:$U110)&lt;N112,SUM(N87:N104)&gt;=MAX($D87:$P104)),N112-SUM($D87:$P104)-SUM($Q110:$U110)+SUM(N87:N104),SUM(N87:N104))</f>
        <v>0</v>
      </c>
      <c r="O105" s="264">
        <f t="array" aca="1" ref="O105" ca="1">IF(AND(SUM($D87:$P104)+SUM($Q110:$U110)&lt;O112,SUM(O87:O104)&gt;=MAX($D87:$P104)),O112-SUM($D87:$P104)-SUM($Q110:$U110)+SUM(O87:O104),SUM(O87:O104))</f>
        <v>0</v>
      </c>
      <c r="P105" s="264">
        <f t="array" aca="1" ref="P105" ca="1">IF(AND(SUM($D87:$P104)+SUM($Q110:$U110)&lt;P112,SUM(P87:P104)&gt;=MAX($D87:$P104)),P112-SUM($D87:$P104)-SUM($Q110:$U110)+SUM(P87:P104),SUM(P87:P104))</f>
        <v>0</v>
      </c>
      <c r="Q105" s="263"/>
      <c r="R105" s="263"/>
      <c r="S105" s="263"/>
      <c r="T105" s="263"/>
      <c r="U105" s="263"/>
      <c r="V105" s="5"/>
      <c r="W105" s="5"/>
      <c r="X105" s="306">
        <f ca="1">SUM(D105:P105)-SUM(D113:U113)</f>
        <v>-15980.336333333331</v>
      </c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</row>
    <row r="106" spans="1:55" s="125" customFormat="1">
      <c r="A106" s="268" t="s">
        <v>121</v>
      </c>
      <c r="C106" s="261" t="s">
        <v>86</v>
      </c>
      <c r="D106" s="262">
        <v>1</v>
      </c>
      <c r="E106" s="262">
        <v>1</v>
      </c>
      <c r="F106" s="262">
        <v>1</v>
      </c>
      <c r="G106" s="262">
        <v>1</v>
      </c>
      <c r="H106" s="262">
        <v>1</v>
      </c>
      <c r="I106" s="262">
        <v>1</v>
      </c>
      <c r="J106" s="262">
        <v>1</v>
      </c>
      <c r="K106" s="262">
        <v>1</v>
      </c>
      <c r="L106" s="262">
        <v>0</v>
      </c>
      <c r="M106" s="262">
        <v>0</v>
      </c>
      <c r="N106" s="262">
        <v>0</v>
      </c>
      <c r="O106" s="262">
        <v>0</v>
      </c>
      <c r="P106" s="262">
        <v>0</v>
      </c>
      <c r="Q106" s="263"/>
      <c r="R106" s="263"/>
      <c r="S106" s="263"/>
      <c r="T106" s="263"/>
      <c r="U106" s="263"/>
      <c r="V106" s="5"/>
      <c r="W106" s="5"/>
      <c r="X106" s="177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</row>
    <row r="107" spans="1:55" s="125" customFormat="1">
      <c r="A107" s="267" t="s">
        <v>126</v>
      </c>
      <c r="C107" s="119"/>
      <c r="D107" s="276">
        <f>D106*D138</f>
        <v>12000</v>
      </c>
      <c r="E107" s="276">
        <f>E106*E138</f>
        <v>12000</v>
      </c>
      <c r="F107" s="276">
        <f t="shared" ref="F107:P107" si="48">F106*F138</f>
        <v>12000</v>
      </c>
      <c r="G107" s="276">
        <f t="shared" si="48"/>
        <v>12000</v>
      </c>
      <c r="H107" s="276">
        <f t="shared" si="48"/>
        <v>12000</v>
      </c>
      <c r="I107" s="276">
        <f>I106*I138</f>
        <v>12000</v>
      </c>
      <c r="J107" s="276">
        <f t="shared" si="48"/>
        <v>12000</v>
      </c>
      <c r="K107" s="276">
        <f t="shared" si="48"/>
        <v>12000</v>
      </c>
      <c r="L107" s="276">
        <f t="shared" si="48"/>
        <v>0</v>
      </c>
      <c r="M107" s="276">
        <f t="shared" si="48"/>
        <v>0</v>
      </c>
      <c r="N107" s="276">
        <f t="shared" ref="N107" si="49">N106*N138</f>
        <v>0</v>
      </c>
      <c r="O107" s="276">
        <f t="shared" si="48"/>
        <v>0</v>
      </c>
      <c r="P107" s="276">
        <f t="shared" si="48"/>
        <v>0</v>
      </c>
      <c r="Q107" s="263"/>
      <c r="R107" s="263"/>
      <c r="S107" s="263"/>
      <c r="T107" s="263"/>
      <c r="U107" s="263"/>
      <c r="V107" s="5"/>
      <c r="W107" s="5"/>
      <c r="X107" s="177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</row>
    <row r="108" spans="1:55" s="125" customFormat="1">
      <c r="A108" s="267" t="s">
        <v>126</v>
      </c>
      <c r="B108" s="196"/>
      <c r="C108" s="119"/>
      <c r="D108" s="276">
        <f ca="1">D106*D105</f>
        <v>0</v>
      </c>
      <c r="E108" s="276">
        <f ca="1">E106*E105</f>
        <v>0</v>
      </c>
      <c r="F108" s="276">
        <f ca="1">F106*F105</f>
        <v>0</v>
      </c>
      <c r="G108" s="276">
        <f t="shared" ref="G108:P108" ca="1" si="50">G106*G105</f>
        <v>0</v>
      </c>
      <c r="H108" s="276">
        <f t="shared" ca="1" si="50"/>
        <v>0</v>
      </c>
      <c r="I108" s="276">
        <f ca="1">I106*I105</f>
        <v>0</v>
      </c>
      <c r="J108" s="276">
        <f t="shared" ca="1" si="50"/>
        <v>0</v>
      </c>
      <c r="K108" s="276">
        <f t="shared" ca="1" si="50"/>
        <v>0</v>
      </c>
      <c r="L108" s="276">
        <f t="shared" ca="1" si="50"/>
        <v>0</v>
      </c>
      <c r="M108" s="276">
        <f t="shared" ca="1" si="50"/>
        <v>0</v>
      </c>
      <c r="N108" s="276">
        <f t="shared" ref="N108" ca="1" si="51">N106*N105</f>
        <v>0</v>
      </c>
      <c r="O108" s="276">
        <f t="shared" ca="1" si="50"/>
        <v>0</v>
      </c>
      <c r="P108" s="276">
        <f t="shared" ca="1" si="50"/>
        <v>0</v>
      </c>
      <c r="Q108" s="263"/>
      <c r="R108" s="263"/>
      <c r="S108" s="263"/>
      <c r="T108" s="263"/>
      <c r="U108" s="263"/>
      <c r="V108" s="5"/>
      <c r="W108" s="5"/>
      <c r="X108" s="177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</row>
    <row r="109" spans="1:55" s="125" customFormat="1" ht="11.25">
      <c r="A109" s="254" t="s">
        <v>121</v>
      </c>
      <c r="B109" s="196"/>
      <c r="C109" s="196"/>
      <c r="D109" s="264">
        <f t="array" aca="1" ref="D109" ca="1">IFERROR(SUM($D108:$P108)/COUNTIF($D107:$P107,"&gt;0.0001")*IF(D138&lt;0.001,0,1),0)</f>
        <v>0</v>
      </c>
      <c r="E109" s="264">
        <f t="array" aca="1" ref="E109" ca="1">IFERROR(SUM($D108:$P108)/COUNTIF($D107:$P107,"&gt;0.0001")*IF(E138&lt;0.001,0,1),0)</f>
        <v>0</v>
      </c>
      <c r="F109" s="264">
        <f t="array" aca="1" ref="F109" ca="1">IFERROR(SUM($D108:$P108)/COUNTIF($D107:$P107,"&gt;0.0001")*IF(F138&lt;0.001,0,1),0)</f>
        <v>0</v>
      </c>
      <c r="G109" s="264">
        <f t="array" aca="1" ref="G109" ca="1">IFERROR(SUM($D108:$P108)/COUNTIF($D107:$P107,"&gt;0.0001")*IF(G138&lt;0.001,0,1),0)</f>
        <v>0</v>
      </c>
      <c r="H109" s="264">
        <f t="array" aca="1" ref="H109" ca="1">IFERROR(SUM($D108:$P108)/COUNTIF($D107:$P107,"&gt;0.0001")*IF(H138&lt;0.001,0,1),0)</f>
        <v>0</v>
      </c>
      <c r="I109" s="264">
        <f t="array" aca="1" ref="I109" ca="1">IFERROR(SUM($D108:$P108)/COUNTIF($D107:$P107,"&gt;0.0001")*IF(I138&lt;0.001,0,1),0)</f>
        <v>0</v>
      </c>
      <c r="J109" s="264">
        <f t="array" aca="1" ref="J109" ca="1">IFERROR(SUM($D108:$P108)/COUNTIF($D107:$P107,"&gt;0.0001")*IF(J138&lt;0.001,0,1),0)</f>
        <v>0</v>
      </c>
      <c r="K109" s="264">
        <f t="array" aca="1" ref="K109" ca="1">IFERROR(SUM($D108:$P108)/COUNTIF($D107:$P107,"&gt;0.0001")*IF(K138&lt;0.001,0,1),0)</f>
        <v>0</v>
      </c>
      <c r="L109" s="264">
        <f t="array" aca="1" ref="L109" ca="1">IFERROR(SUM($D108:$P108)/COUNTIF($D107:$P107,"&gt;0.0001")*IF(L138&lt;0.001,0,1),0)</f>
        <v>0</v>
      </c>
      <c r="M109" s="264">
        <f t="array" aca="1" ref="M109" ca="1">IFERROR(SUM($D108:$P108)/COUNTIF($D107:$P107,"&gt;0.0001")*IF(M138&lt;0.001,0,1),0)</f>
        <v>0</v>
      </c>
      <c r="N109" s="264">
        <f t="array" aca="1" ref="N109" ca="1">IFERROR(SUM($D108:$P108)/COUNTIF($D107:$P107,"&gt;0.0001")*IF(N138&lt;0.001,0,1),0)</f>
        <v>0</v>
      </c>
      <c r="O109" s="264">
        <f t="array" aca="1" ref="O109" ca="1">IFERROR(SUM($D108:$P108)/COUNTIF($D107:$P107,"&gt;0.0001")*IF(O138&lt;0.001,0,1),0)</f>
        <v>0</v>
      </c>
      <c r="P109" s="264">
        <f t="array" aca="1" ref="P109" ca="1">IFERROR(SUM($D108:$P108)/COUNTIF($D107:$P107,"&gt;0.0001")*IF(P138&lt;0.001,0,1),0)</f>
        <v>0</v>
      </c>
      <c r="Q109" s="238">
        <f ca="1">Q110</f>
        <v>949.13799999999992</v>
      </c>
      <c r="R109" s="238">
        <f t="shared" ref="R109:U109" ca="1" si="52">R110</f>
        <v>949.13799999999992</v>
      </c>
      <c r="S109" s="238">
        <f t="shared" ca="1" si="52"/>
        <v>1645.278</v>
      </c>
      <c r="T109" s="238">
        <f t="shared" ca="1" si="52"/>
        <v>1645.278</v>
      </c>
      <c r="U109" s="238">
        <f t="shared" ca="1" si="52"/>
        <v>821.49000000000012</v>
      </c>
      <c r="V109" s="5"/>
      <c r="W109" s="5"/>
      <c r="X109" s="306">
        <f ca="1">SUM(Q109:U109)</f>
        <v>6010.3220000000001</v>
      </c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</row>
    <row r="110" spans="1:55" s="125" customFormat="1">
      <c r="A110" s="233" t="s">
        <v>103</v>
      </c>
      <c r="B110" s="196"/>
      <c r="C110" s="119"/>
      <c r="D110" s="277">
        <f t="shared" ref="D110:P110" ca="1" si="53">D105*(1-D106)+D106*D109</f>
        <v>0</v>
      </c>
      <c r="E110" s="277">
        <f t="shared" ca="1" si="53"/>
        <v>0</v>
      </c>
      <c r="F110" s="277">
        <f t="shared" ca="1" si="53"/>
        <v>0</v>
      </c>
      <c r="G110" s="277">
        <f t="shared" ca="1" si="53"/>
        <v>0</v>
      </c>
      <c r="H110" s="277">
        <f t="shared" ca="1" si="53"/>
        <v>0</v>
      </c>
      <c r="I110" s="277">
        <f t="shared" ca="1" si="53"/>
        <v>0</v>
      </c>
      <c r="J110" s="277">
        <f t="shared" ca="1" si="53"/>
        <v>0</v>
      </c>
      <c r="K110" s="277">
        <f t="shared" ca="1" si="53"/>
        <v>0</v>
      </c>
      <c r="L110" s="277">
        <f t="shared" ca="1" si="53"/>
        <v>0</v>
      </c>
      <c r="M110" s="277">
        <f t="shared" ca="1" si="53"/>
        <v>0</v>
      </c>
      <c r="N110" s="277">
        <f t="shared" ca="1" si="53"/>
        <v>0</v>
      </c>
      <c r="O110" s="277">
        <f t="shared" ca="1" si="53"/>
        <v>0</v>
      </c>
      <c r="P110" s="277">
        <f t="shared" ca="1" si="53"/>
        <v>0</v>
      </c>
      <c r="Q110" s="238">
        <f ca="1">SUM(Q87:Q104)</f>
        <v>949.13799999999992</v>
      </c>
      <c r="R110" s="238">
        <f t="shared" ref="R110:U110" ca="1" si="54">SUM(R87:R104)</f>
        <v>949.13799999999992</v>
      </c>
      <c r="S110" s="238">
        <f t="shared" ca="1" si="54"/>
        <v>1645.278</v>
      </c>
      <c r="T110" s="238">
        <f t="shared" ca="1" si="54"/>
        <v>1645.278</v>
      </c>
      <c r="U110" s="238">
        <f t="shared" ca="1" si="54"/>
        <v>821.49000000000012</v>
      </c>
      <c r="V110" s="5"/>
      <c r="W110" s="5"/>
      <c r="X110" s="177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</row>
    <row r="111" spans="1:55" s="125" customFormat="1">
      <c r="A111" s="254" t="s">
        <v>119</v>
      </c>
      <c r="B111" s="196"/>
      <c r="C111" s="357"/>
      <c r="D111" s="255">
        <f>IF($B$1&gt;0,IF(AND((D138+H138+M138+Q138)&gt;0,(E138+F138+G138+I138+J138+K138+L138+N138+O138+P138+R138+S138+T138+U138)&gt;0),2,1),1)</f>
        <v>1</v>
      </c>
      <c r="E111" s="407">
        <f>IF($B$1&gt;0,IF(AND((E138+I138+N138)&gt;0,(D138+F138+G138+H138+J138+K138+L138+M138+O138+P138+Q138+R138+S138+T138+U138)&gt;0),2,1),1)</f>
        <v>1</v>
      </c>
      <c r="F111" s="408">
        <f>IF($B$1&gt;0,IF(AND((F138+J138+P138)&gt;0,(E138+D138+G138+H138+I138+K138+L138+M138+N138+O138+Q138+R138+S138+T138+U138)&gt;0),2,1),1)</f>
        <v>1</v>
      </c>
      <c r="G111" s="409">
        <f>IF($B$1&gt;0,IF(AND((G138+K138+O138+R138)&gt;0,(E138+D138+F138+H138+I138+J138+L138+M138+N138+P138+Q138+S138+T138+U138)&gt;0),2,1),1)</f>
        <v>1</v>
      </c>
      <c r="H111" s="256">
        <f>D111</f>
        <v>1</v>
      </c>
      <c r="I111" s="256">
        <f>E111</f>
        <v>1</v>
      </c>
      <c r="J111" s="256">
        <f>F111</f>
        <v>1</v>
      </c>
      <c r="K111" s="256">
        <f>G111</f>
        <v>1</v>
      </c>
      <c r="L111" s="257">
        <f>IF($B$1&gt;0,IF(AND((L138+U138)&gt;0,(E138+D138+F138+G138+H138+I138+J138+K138+M138+N138+O138+P138+Q138+R138+S138+T138)&gt;0),2,1),1)</f>
        <v>1</v>
      </c>
      <c r="M111" s="258">
        <f>H111</f>
        <v>1</v>
      </c>
      <c r="N111" s="258">
        <f>I111</f>
        <v>1</v>
      </c>
      <c r="O111" s="258">
        <f>K111</f>
        <v>1</v>
      </c>
      <c r="P111" s="258">
        <f>J111</f>
        <v>1</v>
      </c>
      <c r="Q111" s="258">
        <f>M111</f>
        <v>1</v>
      </c>
      <c r="R111" s="258">
        <f>O111</f>
        <v>1</v>
      </c>
      <c r="S111" s="257">
        <f>IF($B$1&gt;0,IF(AND((S138)&gt;0,(E138+D138+F138+G138+H138+I138+J138+K138+M138+N138+O138+P138+Q138+R138+L138+T138+U138)&gt;0),2,1),1)</f>
        <v>1</v>
      </c>
      <c r="T111" s="257">
        <f>IF($B$1&gt;0,IF(AND((T138)&gt;0,(D138+F138+E138+G138+H138+I138+J138+K138+L138+O138+P138+Q138+R138+S138+M138+N138+U138)&gt;0),2,1),1)</f>
        <v>1</v>
      </c>
      <c r="U111" s="257">
        <f>IF($B$1&gt;0,IF(AND((U138+L138)&gt;0,(E138+F138+G138+H138+I138+J138+K138+L138+O138+P138+Q138+R138+S138+M138+N138+D138+T138)&gt;0),2,1),1)</f>
        <v>1</v>
      </c>
      <c r="V111" s="5"/>
      <c r="W111" s="5"/>
      <c r="X111" s="177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</row>
    <row r="112" spans="1:55" s="125" customFormat="1">
      <c r="A112" s="254" t="s">
        <v>120</v>
      </c>
      <c r="B112" s="196"/>
      <c r="C112" s="357"/>
      <c r="D112" s="259">
        <f>IF(D111&lt;2,D64,D60/10)</f>
        <v>916.66666666666663</v>
      </c>
      <c r="E112" s="259">
        <f t="shared" ref="E112" si="55">IF(E111&lt;2,E64,E60/10)</f>
        <v>916.66666666666663</v>
      </c>
      <c r="F112" s="259">
        <f t="shared" ref="F112:K112" si="56">IF(F111&lt;2,F64,F60/10)</f>
        <v>916.66666666666663</v>
      </c>
      <c r="G112" s="259">
        <f t="shared" si="56"/>
        <v>916.66666666666663</v>
      </c>
      <c r="H112" s="259">
        <f t="shared" si="56"/>
        <v>1000</v>
      </c>
      <c r="I112" s="259">
        <f t="shared" ref="I112" si="57">IF(I111&lt;2,I64,I60/10)</f>
        <v>1000</v>
      </c>
      <c r="J112" s="259">
        <f t="shared" si="56"/>
        <v>1000</v>
      </c>
      <c r="K112" s="259">
        <f t="shared" si="56"/>
        <v>1000</v>
      </c>
      <c r="L112" s="260">
        <f>L68</f>
        <v>410.25600000000003</v>
      </c>
      <c r="M112" s="259">
        <f t="shared" ref="M112:U112" ca="1" si="58">IF(M111&lt;2,M64,M60/10)</f>
        <v>823.85900000000004</v>
      </c>
      <c r="N112" s="259">
        <f t="shared" ref="N112" ca="1" si="59">IF(N111&lt;2,N64,N60/10)</f>
        <v>810.50399999999991</v>
      </c>
      <c r="O112" s="259">
        <f t="shared" si="58"/>
        <v>848.32000000000016</v>
      </c>
      <c r="P112" s="259">
        <f t="shared" si="58"/>
        <v>848.32000000000016</v>
      </c>
      <c r="Q112" s="259">
        <f t="shared" ca="1" si="58"/>
        <v>799.61599999999999</v>
      </c>
      <c r="R112" s="259">
        <f t="shared" ca="1" si="58"/>
        <v>799.61599999999999</v>
      </c>
      <c r="S112" s="259">
        <f t="shared" si="58"/>
        <v>822.63900000000001</v>
      </c>
      <c r="T112" s="259">
        <f t="shared" ref="T112" si="60">IF(T111&lt;2,T64,T60/10)</f>
        <v>822.63900000000001</v>
      </c>
      <c r="U112" s="259">
        <f t="shared" ca="1" si="58"/>
        <v>821.49000000000012</v>
      </c>
      <c r="V112" s="5"/>
      <c r="W112" s="5"/>
      <c r="X112" s="177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</row>
    <row r="113" spans="1:55" s="272" customFormat="1">
      <c r="A113" s="265" t="s">
        <v>104</v>
      </c>
      <c r="B113" s="196"/>
      <c r="C113" s="358"/>
      <c r="D113" s="271">
        <f t="shared" ref="D113:U113" si="61">IF($B$1&gt;0,D110,D64)</f>
        <v>916.66666666666663</v>
      </c>
      <c r="E113" s="271">
        <f t="shared" ref="E113" si="62">IF($B$1&gt;0,E110,E64)</f>
        <v>916.66666666666663</v>
      </c>
      <c r="F113" s="271">
        <f t="shared" si="61"/>
        <v>916.66666666666663</v>
      </c>
      <c r="G113" s="271">
        <f t="shared" si="61"/>
        <v>916.66666666666663</v>
      </c>
      <c r="H113" s="271">
        <f t="shared" si="61"/>
        <v>1000</v>
      </c>
      <c r="I113" s="271">
        <f t="shared" ref="I113" si="63">IF($B$1&gt;0,I110,I64)</f>
        <v>1000</v>
      </c>
      <c r="J113" s="271">
        <f t="shared" si="61"/>
        <v>1000</v>
      </c>
      <c r="K113" s="271">
        <f t="shared" si="61"/>
        <v>1000</v>
      </c>
      <c r="L113" s="271">
        <f t="shared" si="61"/>
        <v>916.66666666666663</v>
      </c>
      <c r="M113" s="271">
        <f t="shared" ca="1" si="61"/>
        <v>823.85900000000004</v>
      </c>
      <c r="N113" s="271">
        <f t="shared" ref="N113" ca="1" si="64">IF($B$1&gt;0,N110,N64)</f>
        <v>810.50399999999991</v>
      </c>
      <c r="O113" s="271">
        <f t="shared" si="61"/>
        <v>848.32000000000016</v>
      </c>
      <c r="P113" s="271">
        <f t="shared" si="61"/>
        <v>848.32000000000016</v>
      </c>
      <c r="Q113" s="271">
        <f t="shared" ca="1" si="61"/>
        <v>799.61599999999999</v>
      </c>
      <c r="R113" s="271">
        <f t="shared" ca="1" si="61"/>
        <v>799.61599999999999</v>
      </c>
      <c r="S113" s="271">
        <f t="shared" si="61"/>
        <v>822.63900000000001</v>
      </c>
      <c r="T113" s="271">
        <f t="shared" ref="T113" si="65">IF($B$1&gt;0,T110,T64)</f>
        <v>822.63900000000001</v>
      </c>
      <c r="U113" s="271">
        <f t="shared" ca="1" si="61"/>
        <v>821.49000000000012</v>
      </c>
      <c r="V113" s="139"/>
      <c r="W113" s="139"/>
      <c r="X113" s="178"/>
      <c r="Y113" s="141"/>
      <c r="Z113" s="141"/>
      <c r="AA113" s="141"/>
      <c r="AB113" s="141"/>
      <c r="AC113" s="141"/>
      <c r="AD113" s="141"/>
      <c r="AE113" s="141"/>
      <c r="AF113" s="141"/>
      <c r="AG113" s="141"/>
      <c r="AH113" s="141"/>
      <c r="AI113" s="141"/>
      <c r="AJ113" s="141"/>
      <c r="AK113" s="141"/>
      <c r="AL113" s="141"/>
      <c r="AM113" s="141"/>
      <c r="AN113" s="141"/>
      <c r="AO113" s="141"/>
      <c r="AP113" s="141"/>
      <c r="AQ113" s="141"/>
      <c r="AR113" s="141"/>
      <c r="AS113" s="141"/>
      <c r="AT113" s="141"/>
      <c r="AU113" s="141"/>
      <c r="AV113" s="141"/>
      <c r="AW113" s="141"/>
      <c r="AX113" s="141"/>
      <c r="AY113" s="141"/>
      <c r="AZ113" s="141"/>
      <c r="BA113" s="141"/>
      <c r="BB113" s="141"/>
      <c r="BC113" s="141"/>
    </row>
    <row r="114" spans="1:55" s="272" customFormat="1">
      <c r="A114" s="265" t="s">
        <v>105</v>
      </c>
      <c r="B114" s="196"/>
      <c r="C114" s="273"/>
      <c r="D114" s="274">
        <f>MIN(MAX(D113,D63),D60)*IF(AND($B$1&gt;0,D138&lt;0.001),0,1)</f>
        <v>916.66666666666663</v>
      </c>
      <c r="E114" s="274">
        <f t="shared" ref="E114" si="66">MIN(MAX(E113,E63),E60)*IF(AND($B$1&gt;0,E138&lt;0.001),0,1)</f>
        <v>916.66666666666663</v>
      </c>
      <c r="F114" s="274">
        <f t="shared" ref="F114:P114" si="67">MIN(MAX(F113,F63),F60)*IF(AND($B$1&gt;0,F138&lt;0.001),0,1)</f>
        <v>916.66666666666663</v>
      </c>
      <c r="G114" s="274">
        <f t="shared" si="67"/>
        <v>916.66666666666663</v>
      </c>
      <c r="H114" s="274">
        <f t="shared" si="67"/>
        <v>1000</v>
      </c>
      <c r="I114" s="274">
        <f t="shared" ref="I114" si="68">MIN(MAX(I113,I63),I60)*IF(AND($B$1&gt;0,I138&lt;0.001),0,1)</f>
        <v>1000</v>
      </c>
      <c r="J114" s="274">
        <f t="shared" si="67"/>
        <v>1000</v>
      </c>
      <c r="K114" s="274">
        <f t="shared" si="67"/>
        <v>1000</v>
      </c>
      <c r="L114" s="274">
        <f t="shared" si="67"/>
        <v>916.66666666666663</v>
      </c>
      <c r="M114" s="274">
        <f t="shared" ca="1" si="67"/>
        <v>823.85900000000004</v>
      </c>
      <c r="N114" s="274">
        <f t="shared" ref="N114" ca="1" si="69">MIN(MAX(N113,N63),N60)*IF(AND($B$1&gt;0,N138&lt;0.001),0,1)</f>
        <v>810.50399999999991</v>
      </c>
      <c r="O114" s="274">
        <f t="shared" si="67"/>
        <v>848.32000000000016</v>
      </c>
      <c r="P114" s="274">
        <f t="shared" si="67"/>
        <v>848.32000000000016</v>
      </c>
      <c r="Q114" s="275">
        <f ca="1">Q64</f>
        <v>799.61599999999999</v>
      </c>
      <c r="R114" s="275">
        <f ca="1">R64</f>
        <v>799.61599999999999</v>
      </c>
      <c r="S114" s="275">
        <f>S64</f>
        <v>822.63900000000001</v>
      </c>
      <c r="T114" s="275">
        <f>T64</f>
        <v>822.63900000000001</v>
      </c>
      <c r="U114" s="275">
        <f ca="1">U64</f>
        <v>821.49000000000012</v>
      </c>
      <c r="V114" s="139"/>
      <c r="W114" s="139"/>
      <c r="X114" s="178"/>
      <c r="Y114" s="141"/>
      <c r="Z114" s="141"/>
      <c r="AA114" s="141"/>
      <c r="AB114" s="141"/>
      <c r="AC114" s="141"/>
      <c r="AD114" s="141"/>
      <c r="AE114" s="141"/>
      <c r="AF114" s="141"/>
      <c r="AG114" s="141"/>
      <c r="AH114" s="141"/>
      <c r="AI114" s="141"/>
      <c r="AJ114" s="141"/>
      <c r="AK114" s="141"/>
      <c r="AL114" s="141"/>
      <c r="AM114" s="141"/>
      <c r="AN114" s="141"/>
      <c r="AO114" s="141"/>
      <c r="AP114" s="141"/>
      <c r="AQ114" s="141"/>
      <c r="AR114" s="141"/>
      <c r="AS114" s="141"/>
      <c r="AT114" s="141"/>
      <c r="AU114" s="141"/>
      <c r="AV114" s="141"/>
      <c r="AW114" s="141"/>
      <c r="AX114" s="141"/>
      <c r="AY114" s="141"/>
      <c r="AZ114" s="141"/>
      <c r="BA114" s="141"/>
      <c r="BB114" s="141"/>
      <c r="BC114" s="141"/>
    </row>
    <row r="115" spans="1:55" s="272" customFormat="1">
      <c r="A115" s="265" t="s">
        <v>107</v>
      </c>
      <c r="B115" s="196"/>
      <c r="C115" s="359"/>
      <c r="D115" s="271">
        <f ca="1">MIN(SUM(D69:D86),D113)</f>
        <v>916.66666666666663</v>
      </c>
      <c r="E115" s="271">
        <f t="shared" ref="E115:U115" ca="1" si="70">MIN(SUM(E69:E86),E113)</f>
        <v>916.66666666666663</v>
      </c>
      <c r="F115" s="271">
        <f t="shared" ca="1" si="70"/>
        <v>916.66666666666663</v>
      </c>
      <c r="G115" s="271">
        <f t="shared" ca="1" si="70"/>
        <v>916.66666666666663</v>
      </c>
      <c r="H115" s="271">
        <f t="shared" ca="1" si="70"/>
        <v>1000</v>
      </c>
      <c r="I115" s="271">
        <f t="shared" ca="1" si="70"/>
        <v>1000</v>
      </c>
      <c r="J115" s="271">
        <f t="shared" ca="1" si="70"/>
        <v>1000</v>
      </c>
      <c r="K115" s="271">
        <f t="shared" ca="1" si="70"/>
        <v>1000</v>
      </c>
      <c r="L115" s="271">
        <f t="shared" ca="1" si="70"/>
        <v>916.66666666666663</v>
      </c>
      <c r="M115" s="271">
        <f t="shared" ca="1" si="70"/>
        <v>823.85900000000004</v>
      </c>
      <c r="N115" s="271">
        <f t="shared" ca="1" si="70"/>
        <v>810.50399999999991</v>
      </c>
      <c r="O115" s="271">
        <f t="shared" ca="1" si="70"/>
        <v>848.32000000000016</v>
      </c>
      <c r="P115" s="271">
        <f t="shared" ca="1" si="70"/>
        <v>848.32000000000016</v>
      </c>
      <c r="Q115" s="271">
        <f t="shared" ca="1" si="70"/>
        <v>799.61599999999999</v>
      </c>
      <c r="R115" s="271">
        <f t="shared" ca="1" si="70"/>
        <v>799.61599999999999</v>
      </c>
      <c r="S115" s="271">
        <f ca="1">MIN(SUM(S69:S86),S113)</f>
        <v>822.63900000000001</v>
      </c>
      <c r="T115" s="271">
        <f t="shared" ca="1" si="70"/>
        <v>822.63900000000001</v>
      </c>
      <c r="U115" s="271">
        <f t="shared" ca="1" si="70"/>
        <v>821.49000000000012</v>
      </c>
      <c r="V115" s="139"/>
      <c r="W115" s="139"/>
      <c r="X115" s="178"/>
      <c r="Y115" s="141"/>
      <c r="Z115" s="141"/>
      <c r="AA115" s="141"/>
      <c r="AB115" s="141"/>
      <c r="AC115" s="141"/>
      <c r="AD115" s="141"/>
      <c r="AE115" s="141"/>
      <c r="AF115" s="141"/>
      <c r="AG115" s="141"/>
      <c r="AH115" s="141"/>
      <c r="AI115" s="141"/>
      <c r="AJ115" s="141"/>
      <c r="AK115" s="141"/>
      <c r="AL115" s="141"/>
      <c r="AM115" s="141"/>
      <c r="AN115" s="141"/>
      <c r="AO115" s="141"/>
      <c r="AP115" s="141"/>
      <c r="AQ115" s="141"/>
      <c r="AR115" s="141"/>
      <c r="AS115" s="141"/>
      <c r="AT115" s="141"/>
      <c r="AU115" s="141"/>
      <c r="AV115" s="141"/>
      <c r="AW115" s="141"/>
      <c r="AX115" s="141"/>
      <c r="AY115" s="141"/>
      <c r="AZ115" s="141"/>
      <c r="BA115" s="141"/>
      <c r="BB115" s="141"/>
      <c r="BC115" s="141"/>
    </row>
    <row r="116" spans="1:55">
      <c r="A116" s="34" t="s">
        <v>28</v>
      </c>
      <c r="B116" s="196"/>
      <c r="C116" s="117" t="s">
        <v>65</v>
      </c>
      <c r="D116" s="35">
        <v>0</v>
      </c>
      <c r="E116" s="35">
        <v>0</v>
      </c>
      <c r="F116" s="35">
        <v>0</v>
      </c>
      <c r="G116" s="35">
        <v>0</v>
      </c>
      <c r="H116" s="35">
        <v>0</v>
      </c>
      <c r="I116" s="35">
        <v>0</v>
      </c>
      <c r="J116" s="35">
        <v>0</v>
      </c>
      <c r="K116" s="35">
        <v>0</v>
      </c>
      <c r="L116" s="35">
        <v>0</v>
      </c>
      <c r="M116" s="35">
        <v>0</v>
      </c>
      <c r="N116" s="35">
        <v>0</v>
      </c>
      <c r="O116" s="35">
        <v>0</v>
      </c>
      <c r="P116" s="35">
        <v>0</v>
      </c>
      <c r="Q116" s="36">
        <v>0</v>
      </c>
      <c r="R116" s="36">
        <v>0</v>
      </c>
      <c r="S116" s="36">
        <v>0</v>
      </c>
      <c r="T116" s="36">
        <v>0</v>
      </c>
      <c r="U116" s="36">
        <v>0</v>
      </c>
    </row>
    <row r="117" spans="1:55">
      <c r="A117" s="37" t="s">
        <v>91</v>
      </c>
      <c r="B117" s="270"/>
      <c r="C117" s="117" t="s">
        <v>51</v>
      </c>
      <c r="D117" s="38">
        <v>0</v>
      </c>
      <c r="E117" s="38">
        <v>0</v>
      </c>
      <c r="F117" s="38">
        <v>0</v>
      </c>
      <c r="G117" s="38">
        <v>0</v>
      </c>
      <c r="H117" s="39">
        <v>1250</v>
      </c>
      <c r="I117" s="39">
        <v>1250</v>
      </c>
      <c r="J117" s="39">
        <v>1250</v>
      </c>
      <c r="K117" s="39">
        <v>1250</v>
      </c>
      <c r="L117" s="39">
        <v>1250</v>
      </c>
      <c r="M117" s="39">
        <v>1250</v>
      </c>
      <c r="N117" s="39">
        <v>1250</v>
      </c>
      <c r="O117" s="39">
        <v>1250</v>
      </c>
      <c r="P117" s="39">
        <v>1250</v>
      </c>
      <c r="Q117" s="39">
        <v>1250</v>
      </c>
      <c r="R117" s="39">
        <v>1250</v>
      </c>
      <c r="S117" s="39">
        <v>1250</v>
      </c>
      <c r="T117" s="39">
        <v>1250</v>
      </c>
      <c r="U117" s="39">
        <v>1250</v>
      </c>
    </row>
    <row r="118" spans="1:55">
      <c r="A118" s="37" t="s">
        <v>17</v>
      </c>
      <c r="B118" s="270"/>
      <c r="C118" s="117" t="s">
        <v>51</v>
      </c>
      <c r="D118" s="40">
        <v>20000</v>
      </c>
      <c r="E118" s="40">
        <v>20000</v>
      </c>
      <c r="F118" s="40">
        <v>20000</v>
      </c>
      <c r="G118" s="40">
        <v>20000</v>
      </c>
      <c r="H118" s="41">
        <v>20000</v>
      </c>
      <c r="I118" s="41">
        <v>20000</v>
      </c>
      <c r="J118" s="41">
        <v>20000</v>
      </c>
      <c r="K118" s="41">
        <v>20000</v>
      </c>
      <c r="L118" s="41">
        <v>20000</v>
      </c>
      <c r="M118" s="41">
        <v>20000</v>
      </c>
      <c r="N118" s="41">
        <v>20000</v>
      </c>
      <c r="O118" s="41">
        <v>20000</v>
      </c>
      <c r="P118" s="41">
        <v>20000</v>
      </c>
      <c r="Q118" s="41">
        <v>20000</v>
      </c>
      <c r="R118" s="41">
        <v>20000</v>
      </c>
      <c r="S118" s="41">
        <v>20000</v>
      </c>
      <c r="T118" s="41">
        <v>20000</v>
      </c>
      <c r="U118" s="41">
        <v>20000</v>
      </c>
    </row>
    <row r="119" spans="1:55">
      <c r="A119" s="37" t="s">
        <v>18</v>
      </c>
      <c r="B119" s="270"/>
      <c r="C119" s="117" t="s">
        <v>51</v>
      </c>
      <c r="D119" s="40">
        <v>1000</v>
      </c>
      <c r="E119" s="40">
        <v>1000</v>
      </c>
      <c r="F119" s="40">
        <v>1000</v>
      </c>
      <c r="G119" s="40">
        <v>1000</v>
      </c>
      <c r="H119" s="41">
        <v>1000</v>
      </c>
      <c r="I119" s="41">
        <v>1000</v>
      </c>
      <c r="J119" s="41">
        <v>1000</v>
      </c>
      <c r="K119" s="41">
        <v>1000</v>
      </c>
      <c r="L119" s="41">
        <v>1000</v>
      </c>
      <c r="M119" s="41">
        <v>1000</v>
      </c>
      <c r="N119" s="41">
        <v>1000</v>
      </c>
      <c r="O119" s="41">
        <v>1000</v>
      </c>
      <c r="P119" s="41">
        <v>1000</v>
      </c>
      <c r="Q119" s="41">
        <v>1000</v>
      </c>
      <c r="R119" s="41">
        <v>1000</v>
      </c>
      <c r="S119" s="41">
        <v>1000</v>
      </c>
      <c r="T119" s="41">
        <v>1000</v>
      </c>
      <c r="U119" s="41">
        <v>1000</v>
      </c>
    </row>
    <row r="120" spans="1:55">
      <c r="A120" s="37" t="s">
        <v>19</v>
      </c>
      <c r="B120" s="270"/>
      <c r="C120" s="117" t="s">
        <v>51</v>
      </c>
      <c r="D120" s="40">
        <v>10</v>
      </c>
      <c r="E120" s="40">
        <v>10</v>
      </c>
      <c r="F120" s="40">
        <v>10</v>
      </c>
      <c r="G120" s="40">
        <v>10</v>
      </c>
      <c r="H120" s="41">
        <v>10</v>
      </c>
      <c r="I120" s="41">
        <v>10</v>
      </c>
      <c r="J120" s="41">
        <v>10</v>
      </c>
      <c r="K120" s="41">
        <v>10</v>
      </c>
      <c r="L120" s="41">
        <v>10</v>
      </c>
      <c r="M120" s="41">
        <v>10</v>
      </c>
      <c r="N120" s="41">
        <v>10</v>
      </c>
      <c r="O120" s="41">
        <v>10</v>
      </c>
      <c r="P120" s="41">
        <v>10</v>
      </c>
      <c r="Q120" s="41">
        <v>10</v>
      </c>
      <c r="R120" s="41">
        <v>10</v>
      </c>
      <c r="S120" s="41">
        <v>10</v>
      </c>
      <c r="T120" s="41">
        <v>10</v>
      </c>
      <c r="U120" s="41">
        <v>10</v>
      </c>
    </row>
    <row r="121" spans="1:55">
      <c r="A121" s="37" t="s">
        <v>11</v>
      </c>
      <c r="C121" s="117" t="s">
        <v>65</v>
      </c>
      <c r="D121" s="42">
        <v>0</v>
      </c>
      <c r="E121" s="42">
        <v>0</v>
      </c>
      <c r="F121" s="42">
        <v>0</v>
      </c>
      <c r="G121" s="42">
        <v>0</v>
      </c>
      <c r="H121" s="43">
        <v>0</v>
      </c>
      <c r="I121" s="43">
        <v>0</v>
      </c>
      <c r="J121" s="43">
        <v>0</v>
      </c>
      <c r="K121" s="43">
        <v>0</v>
      </c>
      <c r="L121" s="43">
        <v>0</v>
      </c>
      <c r="M121" s="43">
        <v>0</v>
      </c>
      <c r="N121" s="43">
        <v>0</v>
      </c>
      <c r="O121" s="43">
        <v>0</v>
      </c>
      <c r="P121" s="43">
        <v>0</v>
      </c>
      <c r="Q121" s="43">
        <v>0</v>
      </c>
      <c r="R121" s="43">
        <v>0</v>
      </c>
      <c r="S121" s="43">
        <v>0</v>
      </c>
      <c r="T121" s="43">
        <v>0</v>
      </c>
      <c r="U121" s="43">
        <v>0</v>
      </c>
    </row>
    <row r="122" spans="1:55">
      <c r="A122" s="44" t="s">
        <v>75</v>
      </c>
      <c r="C122" s="117" t="s">
        <v>65</v>
      </c>
      <c r="D122" s="45">
        <v>0.2</v>
      </c>
      <c r="E122" s="45">
        <v>0.2</v>
      </c>
      <c r="F122" s="45">
        <v>0.2</v>
      </c>
      <c r="G122" s="45">
        <v>0.2</v>
      </c>
      <c r="H122" s="45">
        <v>0.2</v>
      </c>
      <c r="I122" s="45">
        <v>0.2</v>
      </c>
      <c r="J122" s="45">
        <v>0.2</v>
      </c>
      <c r="K122" s="45">
        <v>0.2</v>
      </c>
      <c r="L122" s="45">
        <v>0.2</v>
      </c>
      <c r="M122" s="45">
        <v>0.2</v>
      </c>
      <c r="N122" s="45">
        <v>0.2</v>
      </c>
      <c r="O122" s="45">
        <v>0.2</v>
      </c>
      <c r="P122" s="45">
        <v>0.2</v>
      </c>
      <c r="Q122" s="46">
        <v>0</v>
      </c>
      <c r="R122" s="46">
        <v>0</v>
      </c>
      <c r="S122" s="46">
        <v>0</v>
      </c>
      <c r="T122" s="46">
        <v>0</v>
      </c>
      <c r="U122" s="46">
        <v>0</v>
      </c>
    </row>
    <row r="123" spans="1:55">
      <c r="A123" s="44" t="s">
        <v>74</v>
      </c>
      <c r="C123" s="117" t="s">
        <v>65</v>
      </c>
      <c r="D123" s="45">
        <v>0.24</v>
      </c>
      <c r="E123" s="45">
        <v>0.24</v>
      </c>
      <c r="F123" s="45">
        <v>0.24</v>
      </c>
      <c r="G123" s="45">
        <v>0.24</v>
      </c>
      <c r="H123" s="45">
        <v>0.24</v>
      </c>
      <c r="I123" s="45">
        <v>0.24</v>
      </c>
      <c r="J123" s="45">
        <v>0.24</v>
      </c>
      <c r="K123" s="45">
        <v>0.24</v>
      </c>
      <c r="L123" s="45">
        <v>0.24</v>
      </c>
      <c r="M123" s="45">
        <v>0.24</v>
      </c>
      <c r="N123" s="45">
        <v>0.24</v>
      </c>
      <c r="O123" s="45">
        <v>0.24</v>
      </c>
      <c r="P123" s="45">
        <v>0.24</v>
      </c>
      <c r="Q123" s="46">
        <v>0</v>
      </c>
      <c r="R123" s="46">
        <v>0</v>
      </c>
      <c r="S123" s="46">
        <v>0</v>
      </c>
      <c r="T123" s="46">
        <v>0</v>
      </c>
      <c r="U123" s="46">
        <v>0</v>
      </c>
    </row>
    <row r="124" spans="1:55" ht="12.75" thickBot="1">
      <c r="A124" s="47" t="s">
        <v>60</v>
      </c>
      <c r="C124" s="166" t="s">
        <v>61</v>
      </c>
      <c r="D124" s="172">
        <v>12</v>
      </c>
      <c r="E124" s="172">
        <v>12</v>
      </c>
      <c r="F124" s="172">
        <v>12</v>
      </c>
      <c r="G124" s="172">
        <v>12</v>
      </c>
      <c r="H124" s="172">
        <v>12</v>
      </c>
      <c r="I124" s="172">
        <v>12</v>
      </c>
      <c r="J124" s="172">
        <v>12</v>
      </c>
      <c r="K124" s="172">
        <v>12</v>
      </c>
      <c r="L124" s="172">
        <v>12</v>
      </c>
      <c r="M124" s="172">
        <v>12</v>
      </c>
      <c r="N124" s="172">
        <v>12</v>
      </c>
      <c r="O124" s="172">
        <v>12</v>
      </c>
      <c r="P124" s="172">
        <v>12</v>
      </c>
      <c r="Q124" s="172">
        <v>12</v>
      </c>
      <c r="R124" s="172">
        <v>12</v>
      </c>
      <c r="S124" s="172">
        <v>12</v>
      </c>
      <c r="T124" s="172">
        <v>12</v>
      </c>
      <c r="U124" s="172">
        <v>12</v>
      </c>
    </row>
    <row r="125" spans="1:55">
      <c r="A125" s="283" t="s">
        <v>127</v>
      </c>
      <c r="C125" s="279" t="s">
        <v>65</v>
      </c>
      <c r="D125" s="285"/>
      <c r="E125" s="285"/>
      <c r="F125" s="285"/>
      <c r="G125" s="285"/>
      <c r="H125" s="285"/>
      <c r="I125" s="285"/>
      <c r="J125" s="285"/>
      <c r="K125" s="285"/>
      <c r="L125" s="284">
        <v>2.5000000000000001E-3</v>
      </c>
      <c r="M125" s="285"/>
      <c r="N125" s="285"/>
      <c r="O125" s="285"/>
      <c r="P125" s="285"/>
      <c r="Q125" s="285"/>
      <c r="R125" s="285"/>
      <c r="S125" s="285"/>
      <c r="T125" s="285"/>
      <c r="U125" s="285"/>
    </row>
    <row r="126" spans="1:55">
      <c r="A126" s="278" t="s">
        <v>156</v>
      </c>
      <c r="C126" s="116" t="s">
        <v>51</v>
      </c>
      <c r="D126" s="280">
        <v>120</v>
      </c>
      <c r="E126" s="280">
        <v>120</v>
      </c>
      <c r="F126" s="280">
        <v>120</v>
      </c>
      <c r="G126" s="280">
        <v>144</v>
      </c>
      <c r="H126" s="280">
        <v>120</v>
      </c>
      <c r="I126" s="280">
        <v>120</v>
      </c>
      <c r="J126" s="280">
        <v>120</v>
      </c>
      <c r="K126" s="280">
        <v>144</v>
      </c>
      <c r="L126" s="281">
        <f>L125*L114*L124</f>
        <v>27.5</v>
      </c>
      <c r="M126" s="280">
        <v>120</v>
      </c>
      <c r="N126" s="280">
        <v>120</v>
      </c>
      <c r="O126" s="280">
        <v>144</v>
      </c>
      <c r="P126" s="280">
        <v>120</v>
      </c>
      <c r="Q126" s="282">
        <v>0</v>
      </c>
      <c r="R126" s="280">
        <v>24</v>
      </c>
      <c r="S126" s="282">
        <v>0</v>
      </c>
      <c r="T126" s="282">
        <v>0</v>
      </c>
      <c r="U126" s="282">
        <v>0</v>
      </c>
    </row>
    <row r="127" spans="1:55" ht="12.75" thickBot="1">
      <c r="A127" s="123" t="s">
        <v>157</v>
      </c>
      <c r="C127" s="166" t="s">
        <v>51</v>
      </c>
      <c r="D127" s="124">
        <v>650</v>
      </c>
      <c r="E127" s="124">
        <v>650</v>
      </c>
      <c r="F127" s="124">
        <v>650</v>
      </c>
      <c r="G127" s="124">
        <v>650</v>
      </c>
      <c r="H127" s="124">
        <v>500</v>
      </c>
      <c r="I127" s="124">
        <v>500</v>
      </c>
      <c r="J127" s="124">
        <v>500</v>
      </c>
      <c r="K127" s="124">
        <v>500</v>
      </c>
      <c r="L127" s="136">
        <v>0</v>
      </c>
      <c r="M127" s="124">
        <v>500</v>
      </c>
      <c r="N127" s="124">
        <v>500</v>
      </c>
      <c r="O127" s="124">
        <v>500</v>
      </c>
      <c r="P127" s="124">
        <v>500</v>
      </c>
      <c r="Q127" s="136">
        <v>0</v>
      </c>
      <c r="R127" s="124">
        <v>0</v>
      </c>
      <c r="S127" s="136">
        <v>0</v>
      </c>
      <c r="T127" s="136">
        <v>0</v>
      </c>
      <c r="U127" s="136">
        <v>0</v>
      </c>
    </row>
    <row r="128" spans="1:55">
      <c r="A128" s="48" t="s">
        <v>90</v>
      </c>
      <c r="C128" s="118" t="s">
        <v>86</v>
      </c>
      <c r="D128" s="49"/>
      <c r="E128" s="49"/>
      <c r="F128" s="49"/>
      <c r="G128" s="49"/>
      <c r="H128" s="49"/>
      <c r="I128" s="49"/>
      <c r="J128" s="49"/>
      <c r="K128" s="49"/>
      <c r="L128" s="49"/>
      <c r="M128" s="51"/>
      <c r="N128" s="51"/>
      <c r="O128" s="51"/>
      <c r="P128" s="51"/>
      <c r="Q128" s="50">
        <v>1</v>
      </c>
      <c r="R128" s="50">
        <v>1</v>
      </c>
      <c r="S128" s="50">
        <v>1</v>
      </c>
      <c r="T128" s="50">
        <v>1</v>
      </c>
      <c r="U128" s="50">
        <v>1</v>
      </c>
    </row>
    <row r="129" spans="1:42">
      <c r="A129" s="213" t="s">
        <v>46</v>
      </c>
      <c r="C129" s="212" t="s">
        <v>49</v>
      </c>
      <c r="D129" s="52">
        <v>1</v>
      </c>
      <c r="E129" s="52">
        <v>1</v>
      </c>
      <c r="F129" s="52">
        <v>1</v>
      </c>
      <c r="G129" s="52">
        <v>1</v>
      </c>
      <c r="H129" s="52">
        <v>1</v>
      </c>
      <c r="I129" s="52">
        <v>1</v>
      </c>
      <c r="J129" s="52">
        <v>1</v>
      </c>
      <c r="K129" s="52">
        <v>1</v>
      </c>
      <c r="L129" s="51"/>
      <c r="M129" s="51"/>
      <c r="N129" s="51"/>
      <c r="O129" s="51"/>
      <c r="P129" s="51"/>
      <c r="Q129" s="51"/>
      <c r="R129" s="51"/>
      <c r="S129" s="51"/>
      <c r="T129" s="51"/>
      <c r="U129" s="51"/>
    </row>
    <row r="130" spans="1:42">
      <c r="A130" s="237" t="s">
        <v>94</v>
      </c>
      <c r="C130" s="118" t="s">
        <v>86</v>
      </c>
      <c r="D130" s="52">
        <v>0</v>
      </c>
      <c r="E130" s="52">
        <v>0</v>
      </c>
      <c r="F130" s="52">
        <v>0</v>
      </c>
      <c r="G130" s="52">
        <v>0</v>
      </c>
      <c r="H130" s="214"/>
      <c r="I130" s="214"/>
      <c r="J130" s="214"/>
      <c r="K130" s="214"/>
      <c r="L130" s="214"/>
      <c r="M130" s="215"/>
      <c r="N130" s="215"/>
      <c r="O130" s="215"/>
      <c r="P130" s="215"/>
      <c r="Q130" s="216"/>
      <c r="R130" s="216"/>
      <c r="S130" s="216"/>
      <c r="T130" s="216"/>
      <c r="U130" s="216"/>
    </row>
    <row r="131" spans="1:42">
      <c r="A131" s="213" t="s">
        <v>124</v>
      </c>
      <c r="C131" s="118" t="s">
        <v>125</v>
      </c>
      <c r="D131" s="214">
        <v>1</v>
      </c>
      <c r="E131" s="214">
        <v>1</v>
      </c>
      <c r="F131" s="214">
        <v>1</v>
      </c>
      <c r="G131" s="214">
        <v>1</v>
      </c>
      <c r="H131" s="214">
        <v>1</v>
      </c>
      <c r="I131" s="214">
        <v>1</v>
      </c>
      <c r="J131" s="214">
        <v>1</v>
      </c>
      <c r="K131" s="214">
        <v>1</v>
      </c>
      <c r="L131" s="52">
        <v>1</v>
      </c>
      <c r="M131" s="214">
        <v>1</v>
      </c>
      <c r="N131" s="214">
        <v>1</v>
      </c>
      <c r="O131" s="214">
        <v>1</v>
      </c>
      <c r="P131" s="214">
        <v>1</v>
      </c>
      <c r="Q131" s="214">
        <v>1</v>
      </c>
      <c r="R131" s="214">
        <v>1</v>
      </c>
      <c r="S131" s="214">
        <v>1</v>
      </c>
      <c r="T131" s="214">
        <v>1</v>
      </c>
      <c r="U131" s="214">
        <v>1</v>
      </c>
    </row>
    <row r="132" spans="1:42">
      <c r="A132" s="229" t="s">
        <v>92</v>
      </c>
      <c r="D132" s="287">
        <f t="shared" ref="D132:U132" si="71">-D126*IF(AND($B$1&gt;0,D138&lt;0.001),0,1)</f>
        <v>-120</v>
      </c>
      <c r="E132" s="287">
        <f>-E126*IF(AND($B$1&gt;0,E138&lt;0.001),0,1)</f>
        <v>-120</v>
      </c>
      <c r="F132" s="287">
        <f t="shared" si="71"/>
        <v>-120</v>
      </c>
      <c r="G132" s="287">
        <f t="shared" si="71"/>
        <v>-144</v>
      </c>
      <c r="H132" s="287">
        <f t="shared" si="71"/>
        <v>-120</v>
      </c>
      <c r="I132" s="287">
        <f t="shared" ref="I132" si="72">-I126*IF(AND($B$1&gt;0,I138&lt;0.001),0,1)</f>
        <v>-120</v>
      </c>
      <c r="J132" s="287">
        <f t="shared" si="71"/>
        <v>-120</v>
      </c>
      <c r="K132" s="287">
        <f t="shared" si="71"/>
        <v>-144</v>
      </c>
      <c r="L132" s="287">
        <f t="shared" si="71"/>
        <v>-27.5</v>
      </c>
      <c r="M132" s="287">
        <f t="shared" si="71"/>
        <v>-120</v>
      </c>
      <c r="N132" s="287">
        <f t="shared" ref="N132" si="73">-N126*IF(AND($B$1&gt;0,N138&lt;0.001),0,1)</f>
        <v>-120</v>
      </c>
      <c r="O132" s="287">
        <f t="shared" si="71"/>
        <v>-144</v>
      </c>
      <c r="P132" s="287">
        <f t="shared" si="71"/>
        <v>-120</v>
      </c>
      <c r="Q132" s="287">
        <f t="shared" si="71"/>
        <v>0</v>
      </c>
      <c r="R132" s="287">
        <f t="shared" si="71"/>
        <v>-24</v>
      </c>
      <c r="S132" s="287">
        <f t="shared" si="71"/>
        <v>0</v>
      </c>
      <c r="T132" s="287">
        <f t="shared" ref="T132" si="74">-T126*IF(AND($B$1&gt;0,T138&lt;0.001),0,1)</f>
        <v>0</v>
      </c>
      <c r="U132" s="287">
        <f t="shared" si="71"/>
        <v>0</v>
      </c>
    </row>
    <row r="133" spans="1:42">
      <c r="A133" s="229" t="s">
        <v>92</v>
      </c>
      <c r="D133" s="287">
        <f t="shared" ref="D133:U133" si="75">IF(D137="",-D127,-650)*IF(AND($B$1&gt;0,D138&lt;0.001),0,1)</f>
        <v>-650</v>
      </c>
      <c r="E133" s="287">
        <f t="shared" ref="E133" si="76">IF(E137="",-E127,-650)*IF(AND($B$1&gt;0,E138&lt;0.001),0,1)</f>
        <v>-650</v>
      </c>
      <c r="F133" s="287">
        <f t="shared" si="75"/>
        <v>-650</v>
      </c>
      <c r="G133" s="287">
        <f t="shared" si="75"/>
        <v>-650</v>
      </c>
      <c r="H133" s="287">
        <f t="shared" si="75"/>
        <v>-500</v>
      </c>
      <c r="I133" s="287">
        <f t="shared" ref="I133" si="77">IF(I137="",-I127,-650)*IF(AND($B$1&gt;0,I138&lt;0.001),0,1)</f>
        <v>-500</v>
      </c>
      <c r="J133" s="287">
        <f t="shared" si="75"/>
        <v>-500</v>
      </c>
      <c r="K133" s="287">
        <f t="shared" si="75"/>
        <v>-500</v>
      </c>
      <c r="L133" s="370">
        <f t="shared" ca="1" si="75"/>
        <v>0</v>
      </c>
      <c r="M133" s="370">
        <f t="shared" si="75"/>
        <v>-500</v>
      </c>
      <c r="N133" s="370">
        <f t="shared" ref="N133" si="78">IF(N137="",-N127,-650)*IF(AND($B$1&gt;0,N138&lt;0.001),0,1)</f>
        <v>-500</v>
      </c>
      <c r="O133" s="370">
        <f t="shared" si="75"/>
        <v>-500</v>
      </c>
      <c r="P133" s="370">
        <f t="shared" si="75"/>
        <v>-500</v>
      </c>
      <c r="Q133" s="287">
        <f t="shared" si="75"/>
        <v>0</v>
      </c>
      <c r="R133" s="287">
        <f t="shared" si="75"/>
        <v>0</v>
      </c>
      <c r="S133" s="287">
        <f t="shared" si="75"/>
        <v>0</v>
      </c>
      <c r="T133" s="287">
        <f t="shared" ref="T133" si="79">IF(T137="",-T127,-650)*IF(AND($B$1&gt;0,T138&lt;0.001),0,1)</f>
        <v>0</v>
      </c>
      <c r="U133" s="287">
        <f t="shared" si="75"/>
        <v>0</v>
      </c>
    </row>
    <row r="134" spans="1:42">
      <c r="A134" s="230"/>
      <c r="D134" s="53" t="str">
        <f t="shared" ref="D134:K134" si="80">IF(D129=1,"&gt;5etia",IF(D129=2,"3-5etia",IF(D129=3,"0-2etia","&gt;5etia")))</f>
        <v>&gt;5etia</v>
      </c>
      <c r="E134" s="53" t="str">
        <f t="shared" ref="E134" si="81">IF(E129=1,"&gt;5etia",IF(E129=2,"3-5etia",IF(E129=3,"0-2etia","&gt;5etia")))</f>
        <v>&gt;5etia</v>
      </c>
      <c r="F134" s="53" t="str">
        <f t="shared" si="80"/>
        <v>&gt;5etia</v>
      </c>
      <c r="G134" s="53" t="str">
        <f t="shared" si="80"/>
        <v>&gt;5etia</v>
      </c>
      <c r="H134" s="53" t="str">
        <f t="shared" si="80"/>
        <v>&gt;5etia</v>
      </c>
      <c r="I134" s="53" t="str">
        <f t="shared" ref="I134" si="82">IF(I129=1,"&gt;5etia",IF(I129=2,"3-5etia",IF(I129=3,"0-2etia","&gt;5etia")))</f>
        <v>&gt;5etia</v>
      </c>
      <c r="J134" s="53" t="str">
        <f t="shared" si="80"/>
        <v>&gt;5etia</v>
      </c>
      <c r="K134" s="372" t="str">
        <f t="shared" si="80"/>
        <v>&gt;5etia</v>
      </c>
      <c r="L134" s="373"/>
      <c r="M134" s="371"/>
      <c r="N134" s="371"/>
      <c r="O134" s="371"/>
      <c r="P134" s="371"/>
      <c r="Q134" s="426" t="str">
        <f>IF(Q128=0,"&lt;25 eton",IF(Q128&gt;0,"&gt;25 eton","&gt;25 eton"))</f>
        <v>&gt;25 eton</v>
      </c>
      <c r="R134" s="53" t="str">
        <f t="shared" ref="R134:U134" si="83">IF(R128=0,"&lt;25 eton",IF(R128&gt;0,"&gt;25 eton","&gt;25 eton"))</f>
        <v>&gt;25 eton</v>
      </c>
      <c r="S134" s="53" t="str">
        <f t="shared" si="83"/>
        <v>&gt;25 eton</v>
      </c>
      <c r="T134" s="53" t="str">
        <f t="shared" ref="T134" si="84">IF(T128=0,"&lt;25 eton",IF(T128&gt;0,"&gt;25 eton","&gt;25 eton"))</f>
        <v>&gt;25 eton</v>
      </c>
      <c r="U134" s="53" t="str">
        <f t="shared" si="83"/>
        <v>&gt;25 eton</v>
      </c>
    </row>
    <row r="135" spans="1:42">
      <c r="A135" s="230"/>
      <c r="D135" s="373"/>
      <c r="E135" s="373"/>
      <c r="F135" s="373"/>
      <c r="G135" s="373"/>
      <c r="H135" s="373"/>
      <c r="I135" s="373"/>
      <c r="J135" s="373"/>
      <c r="K135" s="373"/>
      <c r="L135" s="373"/>
      <c r="M135" s="430">
        <f ca="1">IF(NOW()-"1/6/2019"&lt;0,1,IF(NOW()-"1/6/2022"&lt;0,2,3))</f>
        <v>1</v>
      </c>
      <c r="N135" s="430">
        <f t="shared" ref="N135:P135" ca="1" si="85">IF(NOW()-"1/6/2019"&lt;0,1,IF(NOW()-"1/6/2022"&lt;0,2,3))</f>
        <v>1</v>
      </c>
      <c r="O135" s="430">
        <f t="shared" ca="1" si="85"/>
        <v>1</v>
      </c>
      <c r="P135" s="430">
        <f t="shared" ca="1" si="85"/>
        <v>1</v>
      </c>
      <c r="Q135" s="428"/>
      <c r="R135" s="429"/>
      <c r="S135" s="429"/>
      <c r="T135" s="429"/>
      <c r="U135" s="429"/>
    </row>
    <row r="136" spans="1:42">
      <c r="A136" s="230"/>
      <c r="D136" s="373"/>
      <c r="E136" s="373"/>
      <c r="F136" s="373"/>
      <c r="G136" s="373"/>
      <c r="H136" s="371"/>
      <c r="I136" s="371"/>
      <c r="J136" s="371"/>
      <c r="K136" s="371"/>
      <c r="L136" s="373"/>
      <c r="M136" s="431" t="str">
        <f ca="1">IF(M113&lt;&gt;M115,IF(M135=1,37.95%,IF(M135=2,37.95%-0.5%,37.95%-1%))-4%+M49-IF(NOW()-"1/6/2019"&lt;0,3.5%,IF(NOW()-"1/6/2022"&lt;0,3.25%,3%))+M54-IF(NOW()-"1/6/2019"&lt;0,3.5%,IF(NOW()-"1/6/2022"&lt;0,3.25%,3%))+M48,"")</f>
        <v/>
      </c>
      <c r="N136" s="431" t="str">
        <f t="shared" ref="N136:P136" ca="1" si="86">IF(N113&lt;&gt;N115,IF(N135=1,37.95%,IF(N135=2,37.95%-0.5%,37.95%-1%))-4%+N49-IF(NOW()-"1/6/2019"&lt;0,3.5%,IF(NOW()-"1/6/2022"&lt;0,3.25%,3%))+N54-IF(NOW()-"1/6/2019"&lt;0,3.5%,IF(NOW()-"1/6/2022"&lt;0,3.25%,3%))+N48,"")</f>
        <v/>
      </c>
      <c r="O136" s="431" t="str">
        <f t="shared" ca="1" si="86"/>
        <v/>
      </c>
      <c r="P136" s="431" t="str">
        <f t="shared" ca="1" si="86"/>
        <v/>
      </c>
      <c r="Q136" s="427" t="str">
        <f ca="1">IF(Q149&lt;Q63,"merikh apasxolhsh","")</f>
        <v/>
      </c>
      <c r="R136" s="427" t="str">
        <f ca="1">IF(R149&lt;R63,"merikh apasxolhsh","")</f>
        <v/>
      </c>
      <c r="S136" s="427" t="str">
        <f>IF(S149&lt;S63,"merikh apasxolhsh","")</f>
        <v/>
      </c>
      <c r="T136" s="427" t="str">
        <f>IF(T149&lt;T63,"merikh apasxolhsh","")</f>
        <v/>
      </c>
      <c r="U136" s="427" t="str">
        <f ca="1">IF(U149&lt;U63,"merikh apasxolhsh","")</f>
        <v/>
      </c>
      <c r="X136" s="381" t="s">
        <v>234</v>
      </c>
    </row>
    <row r="137" spans="1:42" ht="12.75" thickBot="1">
      <c r="A137" s="229" t="s">
        <v>92</v>
      </c>
      <c r="D137" s="377" t="str">
        <f>IF(AND(D130=1,$B$1&gt;0),"empor. Idiot.","")</f>
        <v/>
      </c>
      <c r="E137" s="377" t="str">
        <f>IF(AND(E130=1,$B$1&gt;0),"empor. Idiot.","")</f>
        <v/>
      </c>
      <c r="F137" s="377" t="str">
        <f>IF(AND(F130=1,$B$1&gt;0),"empor. Idiot.","")</f>
        <v/>
      </c>
      <c r="G137" s="377" t="str">
        <f>IF(AND(G130=1,$B$1&gt;0),"empor. Idiot.","")</f>
        <v/>
      </c>
      <c r="H137" s="376" t="str">
        <f>IF(AND(MAX($D138*$D130+$E138*$E130+$F138*$F130+$G138*$G130+$Q138+$R138+$S138+$T138+$U138)&gt;0,$B$1&gt;0),"xoris aforol.","")</f>
        <v/>
      </c>
      <c r="I137" s="374" t="str">
        <f>IF(AND(MAX($D138*$D130+$E138*$E130+$F138*$F130+$G138*$G130+$Q138+$R138+$S138+$T138+$U138)&gt;0,$B$1&gt;0),"xoris aforol.","")</f>
        <v/>
      </c>
      <c r="J137" s="374" t="str">
        <f>IF(AND(MAX($D138*$D130+$E138*$E130+$F138*$F130+$G138*$G130+$Q138+$R138+$S138+$T138+$U138)&gt;0,$B$1&gt;0),"xoris aforol.","")</f>
        <v/>
      </c>
      <c r="K137" s="375" t="str">
        <f>IF(AND(MAX($D138*$D130+$E138*$E130+$F138*$F130+$G138*$G130+$Q138+$R138+$S138+$T138+$U138)&gt;0,$B$1&gt;0),"xoris aforol.","")</f>
        <v/>
      </c>
      <c r="L137" s="380" t="str">
        <f ca="1">IF(AND(IFERROR(L148/(D148+E148+F148+G148+H148+I148+J148+K148+L148+M148+N148+O148+P148+Q148+R148+S148+T148+U148),"")&lt;49.99%,$B$1&gt;0,L138&gt;0),"xoris aforol.","")</f>
        <v/>
      </c>
      <c r="M137" s="379" t="str">
        <f>IF(AND(MAX($D138*$D130+$E138*$E130+$F138*$F130+$G138*$G130+$Q138+$R138+$S138+$T138+$U138)&gt;0,$B$1&gt;0),"xoris aforol.","")</f>
        <v/>
      </c>
      <c r="N137" s="379" t="str">
        <f>IF(AND(MAX($D138*$D130+$E138*$E130+$F138*$F130+$G138*$G130+$Q138+$R138+$S138+$T138+$U138)&gt;0,$B$1&gt;0),"xoris aforol.","")</f>
        <v/>
      </c>
      <c r="O137" s="375" t="str">
        <f>IF(AND(MAX($D138*$D130+$E138*$E130+$F138*$F130+$G138*$G130+$Q138+$R138+$S138+$T138+$U138)&gt;0,$B$1&gt;0),"xoris aforol.","")</f>
        <v/>
      </c>
      <c r="P137" s="375" t="str">
        <f>IF(AND(MAX($D138*$D130+$E138*$E130+$F138*$F130+$G138*$G130+$Q138+$R138+$S138+$T138+$U138)&gt;0,$B$1&gt;0),"xoris aforol.","")</f>
        <v/>
      </c>
      <c r="Q137" s="371"/>
      <c r="R137" s="371"/>
      <c r="S137" s="371"/>
      <c r="T137" s="371"/>
      <c r="U137" s="371"/>
    </row>
    <row r="138" spans="1:42" ht="27" thickBot="1">
      <c r="A138" s="165" t="str">
        <f ca="1">"KOSTOS ERGODOTH/ etos==&gt;" &amp; "   etos=" &amp;YEAR(TODAY())</f>
        <v>KOSTOS ERGODOTH/ etos==&gt;   etos=2019</v>
      </c>
      <c r="B138" s="249">
        <v>0</v>
      </c>
      <c r="C138" s="111" t="s">
        <v>51</v>
      </c>
      <c r="D138" s="54">
        <v>12000</v>
      </c>
      <c r="E138" s="54">
        <v>12000</v>
      </c>
      <c r="F138" s="54">
        <v>12000</v>
      </c>
      <c r="G138" s="54">
        <v>12000</v>
      </c>
      <c r="H138" s="54">
        <v>12000</v>
      </c>
      <c r="I138" s="54">
        <v>12000</v>
      </c>
      <c r="J138" s="54">
        <v>12000</v>
      </c>
      <c r="K138" s="54">
        <v>12000</v>
      </c>
      <c r="L138" s="54">
        <v>12000</v>
      </c>
      <c r="M138" s="54">
        <v>12000</v>
      </c>
      <c r="N138" s="54">
        <v>12000</v>
      </c>
      <c r="O138" s="54">
        <v>12000</v>
      </c>
      <c r="P138" s="54">
        <v>12000</v>
      </c>
      <c r="Q138" s="54">
        <v>12000</v>
      </c>
      <c r="R138" s="54">
        <v>12000</v>
      </c>
      <c r="S138" s="54">
        <v>12000</v>
      </c>
      <c r="T138" s="54">
        <v>12000</v>
      </c>
      <c r="U138" s="54">
        <v>12000</v>
      </c>
      <c r="Y138" s="33">
        <v>25000</v>
      </c>
      <c r="Z138" s="33">
        <v>0</v>
      </c>
      <c r="AA138" s="33">
        <v>21000</v>
      </c>
      <c r="AB138" s="33">
        <v>0</v>
      </c>
      <c r="AC138" s="33">
        <v>10000</v>
      </c>
      <c r="AD138" s="33">
        <v>10000</v>
      </c>
      <c r="AE138" s="33">
        <v>5000</v>
      </c>
      <c r="AF138" s="33">
        <v>0</v>
      </c>
      <c r="AG138" s="33">
        <v>10000</v>
      </c>
      <c r="AH138" s="33">
        <v>0</v>
      </c>
      <c r="AI138" s="33">
        <v>10000</v>
      </c>
      <c r="AJ138" s="33">
        <v>0</v>
      </c>
      <c r="AK138" s="33">
        <v>0</v>
      </c>
      <c r="AL138" s="33">
        <v>15000</v>
      </c>
      <c r="AM138" s="33">
        <v>0</v>
      </c>
      <c r="AN138" s="33">
        <v>5000</v>
      </c>
      <c r="AO138" s="33">
        <v>5000</v>
      </c>
      <c r="AP138" s="33">
        <v>0</v>
      </c>
    </row>
    <row r="139" spans="1:42" ht="12.75" customHeight="1" thickBot="1">
      <c r="A139" s="164" t="s">
        <v>44</v>
      </c>
      <c r="B139" s="437" t="s">
        <v>33</v>
      </c>
      <c r="C139" s="118" t="s">
        <v>33</v>
      </c>
      <c r="D139" s="55">
        <v>0</v>
      </c>
      <c r="E139" s="55">
        <v>0</v>
      </c>
      <c r="F139" s="55">
        <v>0</v>
      </c>
      <c r="G139" s="55">
        <v>0</v>
      </c>
      <c r="H139" s="55">
        <v>0</v>
      </c>
      <c r="I139" s="55">
        <v>0</v>
      </c>
      <c r="J139" s="55">
        <v>0</v>
      </c>
      <c r="K139" s="55">
        <v>0</v>
      </c>
      <c r="L139" s="55">
        <v>0</v>
      </c>
      <c r="M139" s="55">
        <v>0</v>
      </c>
      <c r="N139" s="55">
        <v>0</v>
      </c>
      <c r="O139" s="55">
        <v>0</v>
      </c>
      <c r="P139" s="55">
        <v>0</v>
      </c>
      <c r="Q139" s="56"/>
      <c r="R139" s="56"/>
      <c r="S139" s="56"/>
      <c r="T139" s="56"/>
      <c r="U139" s="56"/>
    </row>
    <row r="140" spans="1:42" ht="12.75" thickBot="1">
      <c r="A140" s="138" t="s">
        <v>43</v>
      </c>
      <c r="B140" s="437"/>
      <c r="C140" s="119"/>
      <c r="D140" s="240">
        <f t="shared" ref="D140:U140" si="87">IF(ROUND(D138/(1+D154+D139*D123)/D124,3)&lt;=D60,ROUND(D138/(1+D154+D139*D123)/D124,3),ROUND(D138/(1+D154+D139*D123)/D124+MAX(D138/(1+D154+D139*D123)/D124*D154-D60*D154,0),3))</f>
        <v>1000</v>
      </c>
      <c r="E140" s="240">
        <f t="shared" ref="E140" si="88">IF(ROUND(E138/(1+E154+E139*E123)/E124,3)&lt;=E60,ROUND(E138/(1+E154+E139*E123)/E124,3),ROUND(E138/(1+E154+E139*E123)/E124+MAX(E138/(1+E154+E139*E123)/E124*E154-E60*E154,0),3))</f>
        <v>1000</v>
      </c>
      <c r="F140" s="240">
        <f t="shared" si="87"/>
        <v>1000</v>
      </c>
      <c r="G140" s="240">
        <f t="shared" si="87"/>
        <v>1000</v>
      </c>
      <c r="H140" s="240">
        <f t="shared" si="87"/>
        <v>1000</v>
      </c>
      <c r="I140" s="240">
        <f t="shared" ref="I140" si="89">IF(ROUND(I138/(1+I154+I139*I123)/I124,3)&lt;=I60,ROUND(I138/(1+I154+I139*I123)/I124,3),ROUND(I138/(1+I154+I139*I123)/I124+MAX(I138/(1+I154+I139*I123)/I124*I154-I60*I154,0),3))</f>
        <v>1000</v>
      </c>
      <c r="J140" s="240">
        <f t="shared" si="87"/>
        <v>1000</v>
      </c>
      <c r="K140" s="240">
        <f t="shared" si="87"/>
        <v>1000</v>
      </c>
      <c r="L140" s="240">
        <f t="shared" si="87"/>
        <v>1000</v>
      </c>
      <c r="M140" s="240">
        <f t="shared" ca="1" si="87"/>
        <v>823.85900000000004</v>
      </c>
      <c r="N140" s="240">
        <f t="shared" ref="N140" ca="1" si="90">IF(ROUND(N138/(1+N154+N139*N123)/N124,3)&lt;=N60,ROUND(N138/(1+N154+N139*N123)/N124,3),ROUND(N138/(1+N154+N139*N123)/N124+MAX(N138/(1+N154+N139*N123)/N124*N154-N60*N154,0),3))</f>
        <v>810.50400000000002</v>
      </c>
      <c r="O140" s="240">
        <f t="shared" si="87"/>
        <v>848.32</v>
      </c>
      <c r="P140" s="240">
        <f t="shared" si="87"/>
        <v>848.32</v>
      </c>
      <c r="Q140" s="240">
        <f t="shared" ca="1" si="87"/>
        <v>799.61599999999999</v>
      </c>
      <c r="R140" s="240">
        <f t="shared" ca="1" si="87"/>
        <v>799.61599999999999</v>
      </c>
      <c r="S140" s="240">
        <f t="shared" si="87"/>
        <v>822.63900000000001</v>
      </c>
      <c r="T140" s="240">
        <f t="shared" ref="T140" si="91">IF(ROUND(T138/(1+T154+T139*T123)/T124,3)&lt;=T60,ROUND(T138/(1+T154+T139*T123)/T124,3),ROUND(T138/(1+T154+T139*T123)/T124+MAX(T138/(1+T154+T139*T123)/T124*T154-T60*T154,0),3))</f>
        <v>822.63900000000001</v>
      </c>
      <c r="U140" s="240">
        <f t="shared" ca="1" si="87"/>
        <v>821.49</v>
      </c>
    </row>
    <row r="141" spans="1:42">
      <c r="A141" s="137" t="s">
        <v>2</v>
      </c>
      <c r="B141" s="437"/>
      <c r="D141" s="241">
        <f t="shared" ref="D141:U141" si="92">D123*D140</f>
        <v>240</v>
      </c>
      <c r="E141" s="241">
        <f t="shared" ref="E141" si="93">E123*E140</f>
        <v>240</v>
      </c>
      <c r="F141" s="241">
        <f t="shared" si="92"/>
        <v>240</v>
      </c>
      <c r="G141" s="241">
        <f t="shared" si="92"/>
        <v>240</v>
      </c>
      <c r="H141" s="241">
        <f t="shared" si="92"/>
        <v>240</v>
      </c>
      <c r="I141" s="241">
        <f t="shared" ref="I141" si="94">I123*I140</f>
        <v>240</v>
      </c>
      <c r="J141" s="241">
        <f t="shared" si="92"/>
        <v>240</v>
      </c>
      <c r="K141" s="241">
        <f t="shared" si="92"/>
        <v>240</v>
      </c>
      <c r="L141" s="241">
        <f t="shared" si="92"/>
        <v>240</v>
      </c>
      <c r="M141" s="241">
        <f t="shared" ca="1" si="92"/>
        <v>197.72615999999999</v>
      </c>
      <c r="N141" s="241">
        <f t="shared" ref="N141" ca="1" si="95">N123*N140</f>
        <v>194.52096</v>
      </c>
      <c r="O141" s="241">
        <f t="shared" si="92"/>
        <v>203.5968</v>
      </c>
      <c r="P141" s="241">
        <f t="shared" si="92"/>
        <v>203.5968</v>
      </c>
      <c r="Q141" s="241">
        <f t="shared" ca="1" si="92"/>
        <v>0</v>
      </c>
      <c r="R141" s="241">
        <f t="shared" ca="1" si="92"/>
        <v>0</v>
      </c>
      <c r="S141" s="241">
        <f t="shared" si="92"/>
        <v>0</v>
      </c>
      <c r="T141" s="241">
        <f t="shared" ref="T141" si="96">T123*T140</f>
        <v>0</v>
      </c>
      <c r="U141" s="241">
        <f t="shared" ca="1" si="92"/>
        <v>0</v>
      </c>
      <c r="V141" s="143"/>
      <c r="W141" s="143"/>
    </row>
    <row r="142" spans="1:42">
      <c r="A142" s="57" t="s">
        <v>21</v>
      </c>
      <c r="B142" s="438"/>
      <c r="D142" s="242">
        <f t="shared" ref="D142:U142" si="97">D122*D140</f>
        <v>200</v>
      </c>
      <c r="E142" s="242">
        <f t="shared" ref="E142" si="98">E122*E140</f>
        <v>200</v>
      </c>
      <c r="F142" s="242">
        <f t="shared" si="97"/>
        <v>200</v>
      </c>
      <c r="G142" s="242">
        <f t="shared" si="97"/>
        <v>200</v>
      </c>
      <c r="H142" s="242">
        <f t="shared" si="97"/>
        <v>200</v>
      </c>
      <c r="I142" s="242">
        <f t="shared" ref="I142" si="99">I122*I140</f>
        <v>200</v>
      </c>
      <c r="J142" s="242">
        <f t="shared" si="97"/>
        <v>200</v>
      </c>
      <c r="K142" s="242">
        <f t="shared" si="97"/>
        <v>200</v>
      </c>
      <c r="L142" s="242">
        <f t="shared" si="97"/>
        <v>200</v>
      </c>
      <c r="M142" s="242">
        <f t="shared" ca="1" si="97"/>
        <v>164.77180000000001</v>
      </c>
      <c r="N142" s="242">
        <f t="shared" ref="N142" ca="1" si="100">N122*N140</f>
        <v>162.10080000000002</v>
      </c>
      <c r="O142" s="242">
        <f t="shared" si="97"/>
        <v>169.66400000000002</v>
      </c>
      <c r="P142" s="242">
        <f t="shared" si="97"/>
        <v>169.66400000000002</v>
      </c>
      <c r="Q142" s="242">
        <f t="shared" ca="1" si="97"/>
        <v>0</v>
      </c>
      <c r="R142" s="242">
        <f t="shared" ca="1" si="97"/>
        <v>0</v>
      </c>
      <c r="S142" s="242">
        <f t="shared" si="97"/>
        <v>0</v>
      </c>
      <c r="T142" s="242">
        <f t="shared" ref="T142" si="101">T122*T140</f>
        <v>0</v>
      </c>
      <c r="U142" s="242">
        <f t="shared" ca="1" si="97"/>
        <v>0</v>
      </c>
    </row>
    <row r="143" spans="1:42">
      <c r="A143" s="57" t="s">
        <v>1</v>
      </c>
      <c r="D143" s="242">
        <f t="shared" ref="D143:K143" si="102">-D142+D140</f>
        <v>800</v>
      </c>
      <c r="E143" s="242">
        <f t="shared" ref="E143" si="103">-E142+E140</f>
        <v>800</v>
      </c>
      <c r="F143" s="242">
        <f t="shared" si="102"/>
        <v>800</v>
      </c>
      <c r="G143" s="242">
        <f t="shared" si="102"/>
        <v>800</v>
      </c>
      <c r="H143" s="242">
        <f t="shared" si="102"/>
        <v>800</v>
      </c>
      <c r="I143" s="242">
        <f t="shared" ref="I143" si="104">-I142+I140</f>
        <v>800</v>
      </c>
      <c r="J143" s="242">
        <f t="shared" si="102"/>
        <v>800</v>
      </c>
      <c r="K143" s="242">
        <f t="shared" si="102"/>
        <v>800</v>
      </c>
      <c r="L143" s="242">
        <f>-L142+L140</f>
        <v>800</v>
      </c>
      <c r="M143" s="242">
        <f t="shared" ref="M143:U143" ca="1" si="105">-M142+M140</f>
        <v>659.08720000000005</v>
      </c>
      <c r="N143" s="242">
        <f t="shared" ref="N143" ca="1" si="106">-N142+N140</f>
        <v>648.40319999999997</v>
      </c>
      <c r="O143" s="242">
        <f t="shared" ref="O143" si="107">-O142+O140</f>
        <v>678.65600000000006</v>
      </c>
      <c r="P143" s="242">
        <f t="shared" si="105"/>
        <v>678.65600000000006</v>
      </c>
      <c r="Q143" s="242">
        <f t="shared" ca="1" si="105"/>
        <v>799.61599999999999</v>
      </c>
      <c r="R143" s="242">
        <f t="shared" ca="1" si="105"/>
        <v>799.61599999999999</v>
      </c>
      <c r="S143" s="242">
        <f t="shared" si="105"/>
        <v>822.63900000000001</v>
      </c>
      <c r="T143" s="242">
        <f t="shared" ref="T143" si="108">-T142+T140</f>
        <v>822.63900000000001</v>
      </c>
      <c r="U143" s="242">
        <f t="shared" ca="1" si="105"/>
        <v>821.49</v>
      </c>
    </row>
    <row r="144" spans="1:42">
      <c r="A144" s="57" t="s">
        <v>2</v>
      </c>
      <c r="D144" s="242">
        <f t="shared" ref="D144:K144" si="109">D141</f>
        <v>240</v>
      </c>
      <c r="E144" s="242">
        <f t="shared" ref="E144" si="110">E141</f>
        <v>240</v>
      </c>
      <c r="F144" s="242">
        <f t="shared" si="109"/>
        <v>240</v>
      </c>
      <c r="G144" s="242">
        <f t="shared" si="109"/>
        <v>240</v>
      </c>
      <c r="H144" s="242">
        <f t="shared" si="109"/>
        <v>240</v>
      </c>
      <c r="I144" s="242">
        <f t="shared" ref="I144" si="111">I141</f>
        <v>240</v>
      </c>
      <c r="J144" s="242">
        <f t="shared" si="109"/>
        <v>240</v>
      </c>
      <c r="K144" s="242">
        <f t="shared" si="109"/>
        <v>240</v>
      </c>
      <c r="L144" s="242">
        <f>L141</f>
        <v>240</v>
      </c>
      <c r="M144" s="242">
        <f t="shared" ref="M144:U144" ca="1" si="112">M141</f>
        <v>197.72615999999999</v>
      </c>
      <c r="N144" s="242">
        <f t="shared" ref="N144" ca="1" si="113">N141</f>
        <v>194.52096</v>
      </c>
      <c r="O144" s="242">
        <f>O141</f>
        <v>203.5968</v>
      </c>
      <c r="P144" s="242">
        <f t="shared" ref="P144" si="114">P141</f>
        <v>203.5968</v>
      </c>
      <c r="Q144" s="242">
        <f t="shared" ref="Q144:R144" ca="1" si="115">Q141</f>
        <v>0</v>
      </c>
      <c r="R144" s="242">
        <f t="shared" ca="1" si="115"/>
        <v>0</v>
      </c>
      <c r="S144" s="242">
        <f t="shared" ref="S144:T144" si="116">S141</f>
        <v>0</v>
      </c>
      <c r="T144" s="242">
        <f t="shared" si="116"/>
        <v>0</v>
      </c>
      <c r="U144" s="242">
        <f t="shared" ca="1" si="112"/>
        <v>0</v>
      </c>
    </row>
    <row r="145" spans="1:55">
      <c r="A145" s="57" t="s">
        <v>3</v>
      </c>
      <c r="D145" s="242">
        <f t="shared" ref="D145:K145" si="117">D144+D143</f>
        <v>1040</v>
      </c>
      <c r="E145" s="242">
        <f t="shared" ref="E145" si="118">E144+E143</f>
        <v>1040</v>
      </c>
      <c r="F145" s="242">
        <f t="shared" si="117"/>
        <v>1040</v>
      </c>
      <c r="G145" s="242">
        <f t="shared" si="117"/>
        <v>1040</v>
      </c>
      <c r="H145" s="242">
        <f t="shared" si="117"/>
        <v>1040</v>
      </c>
      <c r="I145" s="242">
        <f t="shared" ref="I145" si="119">I144+I143</f>
        <v>1040</v>
      </c>
      <c r="J145" s="242">
        <f t="shared" si="117"/>
        <v>1040</v>
      </c>
      <c r="K145" s="242">
        <f t="shared" si="117"/>
        <v>1040</v>
      </c>
      <c r="L145" s="242">
        <f>L144+L143</f>
        <v>1040</v>
      </c>
      <c r="M145" s="242">
        <f t="shared" ref="M145:U145" ca="1" si="120">M144+M143</f>
        <v>856.8133600000001</v>
      </c>
      <c r="N145" s="242">
        <f t="shared" ref="N145" ca="1" si="121">N144+N143</f>
        <v>842.92416000000003</v>
      </c>
      <c r="O145" s="242">
        <f t="shared" ref="O145" si="122">O144+O143</f>
        <v>882.25280000000009</v>
      </c>
      <c r="P145" s="242">
        <f t="shared" si="120"/>
        <v>882.25280000000009</v>
      </c>
      <c r="Q145" s="242">
        <f t="shared" ca="1" si="120"/>
        <v>799.61599999999999</v>
      </c>
      <c r="R145" s="242">
        <f t="shared" ca="1" si="120"/>
        <v>799.61599999999999</v>
      </c>
      <c r="S145" s="242">
        <f t="shared" si="120"/>
        <v>822.63900000000001</v>
      </c>
      <c r="T145" s="242">
        <f t="shared" ref="T145" si="123">T144+T143</f>
        <v>822.63900000000001</v>
      </c>
      <c r="U145" s="242">
        <f t="shared" ca="1" si="120"/>
        <v>821.49</v>
      </c>
    </row>
    <row r="146" spans="1:55">
      <c r="A146" s="57" t="s">
        <v>23</v>
      </c>
      <c r="D146" s="243">
        <f t="shared" ref="D146:U146" si="124">D143*D124+D142*D124</f>
        <v>12000</v>
      </c>
      <c r="E146" s="243">
        <f t="shared" ref="E146" si="125">E143*E124+E142*E124</f>
        <v>12000</v>
      </c>
      <c r="F146" s="243">
        <f t="shared" si="124"/>
        <v>12000</v>
      </c>
      <c r="G146" s="243">
        <f t="shared" si="124"/>
        <v>12000</v>
      </c>
      <c r="H146" s="243">
        <f t="shared" si="124"/>
        <v>12000</v>
      </c>
      <c r="I146" s="243">
        <f t="shared" ref="I146" si="126">I143*I124+I142*I124</f>
        <v>12000</v>
      </c>
      <c r="J146" s="243">
        <f t="shared" si="124"/>
        <v>12000</v>
      </c>
      <c r="K146" s="243">
        <f t="shared" si="124"/>
        <v>12000</v>
      </c>
      <c r="L146" s="243">
        <f t="shared" si="124"/>
        <v>12000</v>
      </c>
      <c r="M146" s="243">
        <f t="shared" ca="1" si="124"/>
        <v>9886.3080000000009</v>
      </c>
      <c r="N146" s="243">
        <f t="shared" ref="N146" ca="1" si="127">N143*N124+N142*N124</f>
        <v>9726.0479999999989</v>
      </c>
      <c r="O146" s="243">
        <f t="shared" si="124"/>
        <v>10179.840000000002</v>
      </c>
      <c r="P146" s="243">
        <f t="shared" si="124"/>
        <v>10179.840000000002</v>
      </c>
      <c r="Q146" s="243">
        <f t="shared" ca="1" si="124"/>
        <v>9595.3919999999998</v>
      </c>
      <c r="R146" s="243">
        <f t="shared" ca="1" si="124"/>
        <v>9595.3919999999998</v>
      </c>
      <c r="S146" s="243">
        <f t="shared" si="124"/>
        <v>9871.6679999999997</v>
      </c>
      <c r="T146" s="243">
        <f t="shared" ref="T146" si="128">T143*T124+T142*T124</f>
        <v>9871.6679999999997</v>
      </c>
      <c r="U146" s="243">
        <f t="shared" ca="1" si="124"/>
        <v>9857.880000000001</v>
      </c>
    </row>
    <row r="147" spans="1:55" ht="12.75" thickBot="1">
      <c r="A147" s="58" t="s">
        <v>52</v>
      </c>
      <c r="C147" s="113" t="s">
        <v>51</v>
      </c>
      <c r="D147" s="244">
        <f>D140</f>
        <v>1000</v>
      </c>
      <c r="E147" s="244">
        <f>E140</f>
        <v>1000</v>
      </c>
      <c r="F147" s="244">
        <f>F140</f>
        <v>1000</v>
      </c>
      <c r="G147" s="244">
        <f>G140</f>
        <v>1000</v>
      </c>
      <c r="H147" s="245">
        <v>0</v>
      </c>
      <c r="I147" s="245">
        <v>0</v>
      </c>
      <c r="J147" s="245">
        <v>0</v>
      </c>
      <c r="K147" s="245">
        <v>0</v>
      </c>
      <c r="L147" s="244">
        <f>L140</f>
        <v>1000</v>
      </c>
      <c r="M147" s="245">
        <v>0</v>
      </c>
      <c r="N147" s="245">
        <v>0</v>
      </c>
      <c r="O147" s="245">
        <v>0</v>
      </c>
      <c r="P147" s="245">
        <v>0</v>
      </c>
      <c r="Q147" s="245">
        <v>0</v>
      </c>
      <c r="R147" s="245">
        <v>0</v>
      </c>
      <c r="S147" s="245">
        <v>0</v>
      </c>
      <c r="T147" s="245">
        <v>0</v>
      </c>
      <c r="U147" s="245">
        <v>0</v>
      </c>
    </row>
    <row r="148" spans="1:55" s="141" customFormat="1" ht="14.25" customHeight="1" thickBot="1">
      <c r="A148" s="142" t="s">
        <v>129</v>
      </c>
      <c r="B148" s="139"/>
      <c r="C148" s="80"/>
      <c r="D148" s="246">
        <f t="shared" ref="D148:U148" si="129">D146-D147+D66</f>
        <v>11000</v>
      </c>
      <c r="E148" s="246">
        <f t="shared" ref="E148" si="130">E146-E147+E66</f>
        <v>11000</v>
      </c>
      <c r="F148" s="246">
        <f t="shared" si="129"/>
        <v>11000</v>
      </c>
      <c r="G148" s="246">
        <f t="shared" si="129"/>
        <v>11000</v>
      </c>
      <c r="H148" s="246">
        <f t="shared" si="129"/>
        <v>12000</v>
      </c>
      <c r="I148" s="246">
        <f t="shared" ref="I148" si="131">I146-I147+I66</f>
        <v>12000</v>
      </c>
      <c r="J148" s="246">
        <f t="shared" si="129"/>
        <v>12000</v>
      </c>
      <c r="K148" s="246">
        <f t="shared" si="129"/>
        <v>12000</v>
      </c>
      <c r="L148" s="246">
        <f t="shared" si="129"/>
        <v>11000</v>
      </c>
      <c r="M148" s="246">
        <f t="shared" ca="1" si="129"/>
        <v>9886.3080000000009</v>
      </c>
      <c r="N148" s="246">
        <f t="shared" ref="N148" ca="1" si="132">N146-N147+N66</f>
        <v>9726.0479999999989</v>
      </c>
      <c r="O148" s="246">
        <f t="shared" si="129"/>
        <v>10179.840000000002</v>
      </c>
      <c r="P148" s="246">
        <f t="shared" si="129"/>
        <v>10179.840000000002</v>
      </c>
      <c r="Q148" s="246">
        <f t="shared" ca="1" si="129"/>
        <v>9595.3919999999998</v>
      </c>
      <c r="R148" s="246">
        <f t="shared" ca="1" si="129"/>
        <v>9595.3919999999998</v>
      </c>
      <c r="S148" s="246">
        <f t="shared" si="129"/>
        <v>9871.6679999999997</v>
      </c>
      <c r="T148" s="246">
        <f t="shared" ref="T148" si="133">T146-T147+T66</f>
        <v>9871.6679999999997</v>
      </c>
      <c r="U148" s="246">
        <f t="shared" ca="1" si="129"/>
        <v>9857.880000000001</v>
      </c>
      <c r="V148" s="139"/>
      <c r="W148" s="139"/>
      <c r="X148" s="177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</row>
    <row r="149" spans="1:55" s="125" customFormat="1">
      <c r="A149" s="231" t="s">
        <v>93</v>
      </c>
      <c r="B149" s="5"/>
      <c r="C149" s="120"/>
      <c r="D149" s="234">
        <f t="shared" ref="D149:U149" si="134">D148/D124</f>
        <v>916.66666666666663</v>
      </c>
      <c r="E149" s="234">
        <f t="shared" ref="E149" si="135">E148/E124</f>
        <v>916.66666666666663</v>
      </c>
      <c r="F149" s="234">
        <f t="shared" si="134"/>
        <v>916.66666666666663</v>
      </c>
      <c r="G149" s="234">
        <f t="shared" si="134"/>
        <v>916.66666666666663</v>
      </c>
      <c r="H149" s="234">
        <f t="shared" si="134"/>
        <v>1000</v>
      </c>
      <c r="I149" s="234">
        <f t="shared" ref="I149" si="136">I148/I124</f>
        <v>1000</v>
      </c>
      <c r="J149" s="234">
        <f t="shared" si="134"/>
        <v>1000</v>
      </c>
      <c r="K149" s="234">
        <f t="shared" si="134"/>
        <v>1000</v>
      </c>
      <c r="L149" s="234">
        <f t="shared" si="134"/>
        <v>916.66666666666663</v>
      </c>
      <c r="M149" s="234">
        <f t="shared" ca="1" si="134"/>
        <v>823.85900000000004</v>
      </c>
      <c r="N149" s="234">
        <f t="shared" ref="N149" ca="1" si="137">N148/N124</f>
        <v>810.50399999999991</v>
      </c>
      <c r="O149" s="234">
        <f t="shared" si="134"/>
        <v>848.32000000000016</v>
      </c>
      <c r="P149" s="234">
        <f t="shared" si="134"/>
        <v>848.32000000000016</v>
      </c>
      <c r="Q149" s="234">
        <f t="shared" ca="1" si="134"/>
        <v>799.61599999999999</v>
      </c>
      <c r="R149" s="234">
        <f t="shared" ca="1" si="134"/>
        <v>799.61599999999999</v>
      </c>
      <c r="S149" s="239">
        <f t="shared" si="134"/>
        <v>822.63900000000001</v>
      </c>
      <c r="T149" s="239">
        <f t="shared" ref="T149" si="138">T148/T124</f>
        <v>822.63900000000001</v>
      </c>
      <c r="U149" s="234">
        <f t="shared" ca="1" si="134"/>
        <v>821.49000000000012</v>
      </c>
      <c r="V149" s="5"/>
      <c r="W149" s="5"/>
      <c r="X149" s="177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33"/>
      <c r="BB149" s="33"/>
      <c r="BC149" s="33"/>
    </row>
    <row r="150" spans="1:55">
      <c r="A150" s="61" t="s">
        <v>30</v>
      </c>
      <c r="B150" s="5"/>
      <c r="D150" s="62">
        <f t="shared" ref="D150:K150" ca="1" si="139">IF(AND(YEAR(TODAY())+2&lt;2022,D48+D49&gt;0),1,0)</f>
        <v>1</v>
      </c>
      <c r="E150" s="62">
        <f t="shared" ref="E150" ca="1" si="140">IF(AND(YEAR(TODAY())+2&lt;2022,E48+E49&gt;0),1,0)</f>
        <v>1</v>
      </c>
      <c r="F150" s="62">
        <f t="shared" ca="1" si="139"/>
        <v>0</v>
      </c>
      <c r="G150" s="62">
        <f t="shared" ca="1" si="139"/>
        <v>1</v>
      </c>
      <c r="H150" s="62">
        <f t="shared" ca="1" si="139"/>
        <v>1</v>
      </c>
      <c r="I150" s="62">
        <f t="shared" ref="I150" ca="1" si="141">IF(AND(YEAR(TODAY())+2&lt;2022,I48+I49&gt;0),1,0)</f>
        <v>1</v>
      </c>
      <c r="J150" s="62">
        <f t="shared" ca="1" si="139"/>
        <v>0</v>
      </c>
      <c r="K150" s="62">
        <f t="shared" ca="1" si="139"/>
        <v>1</v>
      </c>
      <c r="L150" s="63"/>
      <c r="M150" s="63"/>
      <c r="N150" s="63"/>
      <c r="O150" s="63"/>
      <c r="P150" s="63"/>
      <c r="Q150" s="63"/>
      <c r="R150" s="63"/>
      <c r="S150" s="63"/>
      <c r="T150" s="63"/>
      <c r="U150" s="63"/>
    </row>
    <row r="151" spans="1:55">
      <c r="A151" s="61" t="s">
        <v>110</v>
      </c>
      <c r="B151" s="5"/>
      <c r="D151" s="251">
        <f t="shared" ref="D151:K151" ca="1" si="142">D347*D150</f>
        <v>402.25380000000001</v>
      </c>
      <c r="E151" s="251">
        <f t="shared" ca="1" si="142"/>
        <v>402.25380000000001</v>
      </c>
      <c r="F151" s="251">
        <f t="shared" ca="1" si="142"/>
        <v>0</v>
      </c>
      <c r="G151" s="251">
        <f t="shared" ca="1" si="142"/>
        <v>402.25380000000001</v>
      </c>
      <c r="H151" s="251">
        <f t="shared" ca="1" si="142"/>
        <v>503.65380000000005</v>
      </c>
      <c r="I151" s="251">
        <f t="shared" ca="1" si="142"/>
        <v>503.65380000000005</v>
      </c>
      <c r="J151" s="251">
        <f t="shared" ca="1" si="142"/>
        <v>0</v>
      </c>
      <c r="K151" s="251">
        <f t="shared" ca="1" si="142"/>
        <v>503.65380000000005</v>
      </c>
      <c r="L151" s="63"/>
      <c r="M151" s="63"/>
      <c r="N151" s="63"/>
      <c r="O151" s="63"/>
      <c r="P151" s="63"/>
      <c r="Q151" s="63"/>
      <c r="R151" s="63"/>
      <c r="S151" s="63"/>
      <c r="T151" s="63"/>
      <c r="U151" s="63"/>
    </row>
    <row r="152" spans="1:55">
      <c r="A152" s="57" t="s">
        <v>40</v>
      </c>
      <c r="B152" s="5"/>
      <c r="D152" s="64">
        <f ca="1">D45+D46+D48+D49+D47</f>
        <v>0.31280000000000002</v>
      </c>
      <c r="E152" s="64">
        <f t="shared" ref="E152:U152" ca="1" si="143">E45+E46+E48+E49+E47</f>
        <v>0.31280000000000002</v>
      </c>
      <c r="F152" s="64">
        <f t="shared" si="143"/>
        <v>0.20280000000000001</v>
      </c>
      <c r="G152" s="64">
        <f t="shared" si="143"/>
        <v>0.24280000000000002</v>
      </c>
      <c r="H152" s="64">
        <f t="shared" ca="1" si="143"/>
        <v>0.31280000000000002</v>
      </c>
      <c r="I152" s="64">
        <f t="shared" ca="1" si="143"/>
        <v>0.31280000000000002</v>
      </c>
      <c r="J152" s="64">
        <f t="shared" si="143"/>
        <v>0.20280000000000001</v>
      </c>
      <c r="K152" s="64">
        <f t="shared" si="143"/>
        <v>0.24280000000000002</v>
      </c>
      <c r="L152" s="64">
        <f t="shared" ca="1" si="143"/>
        <v>0.1895</v>
      </c>
      <c r="M152" s="64">
        <f t="shared" ca="1" si="143"/>
        <v>0.16719999999999999</v>
      </c>
      <c r="N152" s="64">
        <f t="shared" ca="1" si="143"/>
        <v>0.14719999999999997</v>
      </c>
      <c r="O152" s="64">
        <f t="shared" si="143"/>
        <v>0.13219999999999998</v>
      </c>
      <c r="P152" s="64">
        <f t="shared" si="143"/>
        <v>9.219999999999999E-2</v>
      </c>
      <c r="Q152" s="64">
        <f t="shared" ca="1" si="143"/>
        <v>0.2</v>
      </c>
      <c r="R152" s="64">
        <f t="shared" ca="1" si="143"/>
        <v>0.2</v>
      </c>
      <c r="S152" s="64">
        <f t="shared" si="143"/>
        <v>0.125</v>
      </c>
      <c r="T152" s="64">
        <f t="shared" si="143"/>
        <v>0.125</v>
      </c>
      <c r="U152" s="64">
        <f t="shared" ca="1" si="143"/>
        <v>0.10830000000000001</v>
      </c>
    </row>
    <row r="153" spans="1:55">
      <c r="A153" s="65" t="s">
        <v>111</v>
      </c>
      <c r="B153" s="5"/>
      <c r="D153" s="162">
        <f ca="1">-D51+D151</f>
        <v>-2722.1718000000005</v>
      </c>
      <c r="E153" s="162">
        <f t="shared" ref="E153:K153" ca="1" si="144">-E51+E151</f>
        <v>-2722.1718000000005</v>
      </c>
      <c r="F153" s="162">
        <f t="shared" ca="1" si="144"/>
        <v>-2350.8000000000002</v>
      </c>
      <c r="G153" s="162">
        <f t="shared" ca="1" si="144"/>
        <v>-2253.8645999999999</v>
      </c>
      <c r="H153" s="162">
        <f t="shared" ca="1" si="144"/>
        <v>-2823.5718000000006</v>
      </c>
      <c r="I153" s="162">
        <f t="shared" ca="1" si="144"/>
        <v>-2823.5718000000006</v>
      </c>
      <c r="J153" s="162">
        <f t="shared" ca="1" si="144"/>
        <v>-2553.6000000000004</v>
      </c>
      <c r="K153" s="162">
        <f t="shared" ca="1" si="144"/>
        <v>-2355.2646</v>
      </c>
      <c r="L153" s="217">
        <f t="shared" ref="L153:U153" ca="1" si="145">-L51</f>
        <v>-2111.9999999999995</v>
      </c>
      <c r="M153" s="217">
        <f t="shared" ca="1" si="145"/>
        <v>-1658.8567776000002</v>
      </c>
      <c r="N153" s="217">
        <f t="shared" ref="N153" ca="1" si="146">-N51</f>
        <v>-1403.5544255999998</v>
      </c>
      <c r="O153" s="217">
        <f t="shared" ca="1" si="145"/>
        <v>-1363.8996480000001</v>
      </c>
      <c r="P153" s="217">
        <f t="shared" ca="1" si="145"/>
        <v>-1058.5812480000002</v>
      </c>
      <c r="Q153" s="217">
        <f t="shared" ca="1" si="145"/>
        <v>-1816.5811199999998</v>
      </c>
      <c r="R153" s="217">
        <f t="shared" ca="1" si="145"/>
        <v>-1840.5811199999998</v>
      </c>
      <c r="S153" s="217">
        <f t="shared" si="145"/>
        <v>-1233.9585</v>
      </c>
      <c r="T153" s="217">
        <f t="shared" ref="T153" si="147">-T51</f>
        <v>-1233.9585</v>
      </c>
      <c r="U153" s="217">
        <f t="shared" ca="1" si="145"/>
        <v>-1067.6084040000003</v>
      </c>
    </row>
    <row r="154" spans="1:55">
      <c r="A154" s="57" t="s">
        <v>16</v>
      </c>
      <c r="D154" s="64">
        <f t="shared" ref="D154:U154" si="148">D52+D53+D55+D57+D54+D56</f>
        <v>0</v>
      </c>
      <c r="E154" s="64">
        <f t="shared" ref="E154" si="149">E52+E53+E55+E57+E54+E56</f>
        <v>0</v>
      </c>
      <c r="F154" s="64">
        <f t="shared" si="148"/>
        <v>0</v>
      </c>
      <c r="G154" s="64">
        <f t="shared" si="148"/>
        <v>0</v>
      </c>
      <c r="H154" s="64">
        <f t="shared" si="148"/>
        <v>0</v>
      </c>
      <c r="I154" s="64">
        <f t="shared" ref="I154" si="150">I52+I53+I55+I57+I54+I56</f>
        <v>0</v>
      </c>
      <c r="J154" s="64">
        <f t="shared" si="148"/>
        <v>0</v>
      </c>
      <c r="K154" s="64">
        <f t="shared" si="148"/>
        <v>0</v>
      </c>
      <c r="L154" s="64">
        <f t="shared" si="148"/>
        <v>0</v>
      </c>
      <c r="M154" s="64">
        <f t="shared" ca="1" si="148"/>
        <v>0.21380000000000002</v>
      </c>
      <c r="N154" s="64">
        <f t="shared" ref="N154" ca="1" si="151">N52+N53+N55+N57+N54+N56</f>
        <v>0.23380000000000001</v>
      </c>
      <c r="O154" s="64">
        <f t="shared" si="148"/>
        <v>0.17880000000000001</v>
      </c>
      <c r="P154" s="64">
        <f t="shared" si="148"/>
        <v>0.17880000000000001</v>
      </c>
      <c r="Q154" s="64">
        <f t="shared" ca="1" si="148"/>
        <v>0.25060000000000004</v>
      </c>
      <c r="R154" s="64">
        <f t="shared" ca="1" si="148"/>
        <v>0.25060000000000004</v>
      </c>
      <c r="S154" s="64">
        <f t="shared" si="148"/>
        <v>0.21560000000000001</v>
      </c>
      <c r="T154" s="64">
        <f t="shared" ref="T154" si="152">T52+T53+T55+T57+T54+T56</f>
        <v>0.21560000000000001</v>
      </c>
      <c r="U154" s="64">
        <f t="shared" ca="1" si="148"/>
        <v>0.21729999999999999</v>
      </c>
    </row>
    <row r="155" spans="1:55">
      <c r="A155" s="65" t="s">
        <v>34</v>
      </c>
      <c r="D155" s="66">
        <f t="shared" ref="D155:U155" ca="1" si="153">-D59</f>
        <v>0</v>
      </c>
      <c r="E155" s="66">
        <f t="shared" ref="E155" ca="1" si="154">-E59</f>
        <v>0</v>
      </c>
      <c r="F155" s="66">
        <f t="shared" ca="1" si="153"/>
        <v>0</v>
      </c>
      <c r="G155" s="66">
        <f t="shared" ca="1" si="153"/>
        <v>0</v>
      </c>
      <c r="H155" s="66">
        <f t="shared" ca="1" si="153"/>
        <v>0</v>
      </c>
      <c r="I155" s="66">
        <f t="shared" ref="I155" ca="1" si="155">-I59</f>
        <v>0</v>
      </c>
      <c r="J155" s="66">
        <f t="shared" ca="1" si="153"/>
        <v>0</v>
      </c>
      <c r="K155" s="66">
        <f t="shared" ca="1" si="153"/>
        <v>0</v>
      </c>
      <c r="L155" s="66">
        <f t="shared" ca="1" si="153"/>
        <v>0</v>
      </c>
      <c r="M155" s="66">
        <f t="shared" ca="1" si="153"/>
        <v>-2113.6926504000003</v>
      </c>
      <c r="N155" s="66">
        <f t="shared" ref="N155" ca="1" si="156">-N59</f>
        <v>-2220.0882623999996</v>
      </c>
      <c r="O155" s="66">
        <f t="shared" ca="1" si="153"/>
        <v>-1820.1553920000006</v>
      </c>
      <c r="P155" s="66">
        <f t="shared" ca="1" si="153"/>
        <v>-1820.1553920000006</v>
      </c>
      <c r="Q155" s="66">
        <f t="shared" ca="1" si="153"/>
        <v>-2404.6052352000002</v>
      </c>
      <c r="R155" s="66">
        <f t="shared" ca="1" si="153"/>
        <v>-2404.6052352000002</v>
      </c>
      <c r="S155" s="66">
        <f t="shared" ca="1" si="153"/>
        <v>-2128.3316208000001</v>
      </c>
      <c r="T155" s="66">
        <f t="shared" ref="T155" ca="1" si="157">-T59</f>
        <v>-2128.3316208000001</v>
      </c>
      <c r="U155" s="66">
        <f t="shared" ca="1" si="153"/>
        <v>-2142.1173240000003</v>
      </c>
    </row>
    <row r="156" spans="1:55">
      <c r="A156" s="67" t="s">
        <v>22</v>
      </c>
      <c r="D156" s="68">
        <f t="shared" ref="D156:U156" ca="1" si="158">D155+D153</f>
        <v>-2722.1718000000005</v>
      </c>
      <c r="E156" s="68">
        <f t="shared" ref="E156" ca="1" si="159">E155+E153</f>
        <v>-2722.1718000000005</v>
      </c>
      <c r="F156" s="68">
        <f t="shared" ca="1" si="158"/>
        <v>-2350.8000000000002</v>
      </c>
      <c r="G156" s="68">
        <f t="shared" ca="1" si="158"/>
        <v>-2253.8645999999999</v>
      </c>
      <c r="H156" s="68">
        <f t="shared" ca="1" si="158"/>
        <v>-2823.5718000000006</v>
      </c>
      <c r="I156" s="68">
        <f t="shared" ref="I156" ca="1" si="160">I155+I153</f>
        <v>-2823.5718000000006</v>
      </c>
      <c r="J156" s="68">
        <f t="shared" ca="1" si="158"/>
        <v>-2553.6000000000004</v>
      </c>
      <c r="K156" s="68">
        <f t="shared" ca="1" si="158"/>
        <v>-2355.2646</v>
      </c>
      <c r="L156" s="68">
        <f ca="1">L155+L153</f>
        <v>-2111.9999999999995</v>
      </c>
      <c r="M156" s="68">
        <f t="shared" ca="1" si="158"/>
        <v>-3772.5494280000003</v>
      </c>
      <c r="N156" s="68">
        <f t="shared" ref="N156" ca="1" si="161">N155+N153</f>
        <v>-3623.6426879999995</v>
      </c>
      <c r="O156" s="68">
        <f t="shared" ref="O156" ca="1" si="162">O155+O153</f>
        <v>-3184.0550400000006</v>
      </c>
      <c r="P156" s="68">
        <f t="shared" ca="1" si="158"/>
        <v>-2878.736640000001</v>
      </c>
      <c r="Q156" s="68">
        <f t="shared" ca="1" si="158"/>
        <v>-4221.1863551999995</v>
      </c>
      <c r="R156" s="68">
        <f t="shared" ca="1" si="158"/>
        <v>-4245.1863551999995</v>
      </c>
      <c r="S156" s="68">
        <f t="shared" ca="1" si="158"/>
        <v>-3362.2901208000003</v>
      </c>
      <c r="T156" s="68">
        <f t="shared" ref="T156" ca="1" si="163">T155+T153</f>
        <v>-3362.2901208000003</v>
      </c>
      <c r="U156" s="68">
        <f t="shared" ca="1" si="158"/>
        <v>-3209.7257280000003</v>
      </c>
    </row>
    <row r="157" spans="1:55" s="141" customFormat="1" ht="12.75" thickBot="1">
      <c r="A157" s="135" t="s">
        <v>42</v>
      </c>
      <c r="B157" s="4"/>
      <c r="C157" s="115"/>
      <c r="D157" s="140">
        <f ca="1">ROUND(D146-D155,5)</f>
        <v>12000</v>
      </c>
      <c r="E157" s="140">
        <f ca="1">ROUND(E146-E155,5)</f>
        <v>12000</v>
      </c>
      <c r="F157" s="140">
        <f t="shared" ref="F157:U157" ca="1" si="164">ROUND(F146-F155,5)</f>
        <v>12000</v>
      </c>
      <c r="G157" s="140">
        <f t="shared" ca="1" si="164"/>
        <v>12000</v>
      </c>
      <c r="H157" s="140">
        <f t="shared" ca="1" si="164"/>
        <v>12000</v>
      </c>
      <c r="I157" s="140">
        <f t="shared" ref="I157" ca="1" si="165">ROUND(I146-I155,5)</f>
        <v>12000</v>
      </c>
      <c r="J157" s="140">
        <f t="shared" ca="1" si="164"/>
        <v>12000</v>
      </c>
      <c r="K157" s="140">
        <f t="shared" ca="1" si="164"/>
        <v>12000</v>
      </c>
      <c r="L157" s="140">
        <f t="shared" ca="1" si="164"/>
        <v>12000</v>
      </c>
      <c r="M157" s="140">
        <f t="shared" ca="1" si="164"/>
        <v>12000.00065</v>
      </c>
      <c r="N157" s="140">
        <f t="shared" ref="N157" ca="1" si="166">ROUND(N146-N155,5)</f>
        <v>11946.136259999999</v>
      </c>
      <c r="O157" s="140">
        <f t="shared" ca="1" si="164"/>
        <v>11999.99539</v>
      </c>
      <c r="P157" s="140">
        <f t="shared" ca="1" si="164"/>
        <v>11999.99539</v>
      </c>
      <c r="Q157" s="140">
        <f t="shared" ca="1" si="164"/>
        <v>11999.997240000001</v>
      </c>
      <c r="R157" s="140">
        <f t="shared" ca="1" si="164"/>
        <v>11999.997240000001</v>
      </c>
      <c r="S157" s="140">
        <f t="shared" ca="1" si="164"/>
        <v>11999.999620000001</v>
      </c>
      <c r="T157" s="140">
        <f t="shared" ref="T157" ca="1" si="167">ROUND(T146-T155,5)</f>
        <v>11999.999620000001</v>
      </c>
      <c r="U157" s="140">
        <f t="shared" ca="1" si="164"/>
        <v>11999.99732</v>
      </c>
      <c r="V157" s="139"/>
      <c r="W157" s="139"/>
      <c r="X157" s="177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/>
      <c r="AW157" s="33"/>
      <c r="AX157" s="33"/>
      <c r="BB157" s="33"/>
      <c r="BC157" s="33"/>
    </row>
    <row r="158" spans="1:55" s="141" customFormat="1" ht="12.75" thickBot="1">
      <c r="A158" s="142" t="s">
        <v>20</v>
      </c>
      <c r="B158" s="4"/>
      <c r="C158" s="115"/>
      <c r="D158" s="161">
        <f t="shared" ref="D158:U158" ca="1" si="168">MAX(D148+D153,0)</f>
        <v>8277.8281999999999</v>
      </c>
      <c r="E158" s="161">
        <f t="shared" ref="E158" ca="1" si="169">MAX(E148+E153,0)</f>
        <v>8277.8281999999999</v>
      </c>
      <c r="F158" s="161">
        <f t="shared" ca="1" si="168"/>
        <v>8649.2000000000007</v>
      </c>
      <c r="G158" s="161">
        <f t="shared" ca="1" si="168"/>
        <v>8746.1353999999992</v>
      </c>
      <c r="H158" s="161">
        <f t="shared" ca="1" si="168"/>
        <v>9176.4281999999985</v>
      </c>
      <c r="I158" s="161">
        <f t="shared" ref="I158" ca="1" si="170">MAX(I148+I153,0)</f>
        <v>9176.4281999999985</v>
      </c>
      <c r="J158" s="161">
        <f t="shared" ca="1" si="168"/>
        <v>9446.4</v>
      </c>
      <c r="K158" s="161">
        <f t="shared" ca="1" si="168"/>
        <v>9644.7353999999996</v>
      </c>
      <c r="L158" s="161">
        <f t="shared" ca="1" si="168"/>
        <v>8888</v>
      </c>
      <c r="M158" s="161">
        <f t="shared" ca="1" si="168"/>
        <v>8227.4512224000009</v>
      </c>
      <c r="N158" s="161">
        <f t="shared" ref="N158" ca="1" si="171">MAX(N148+N153,0)</f>
        <v>8322.4935743999995</v>
      </c>
      <c r="O158" s="161">
        <f t="shared" ca="1" si="168"/>
        <v>8815.9403520000014</v>
      </c>
      <c r="P158" s="161">
        <f t="shared" ca="1" si="168"/>
        <v>9121.2587520000016</v>
      </c>
      <c r="Q158" s="161">
        <f t="shared" ca="1" si="168"/>
        <v>7778.81088</v>
      </c>
      <c r="R158" s="161">
        <f t="shared" ca="1" si="168"/>
        <v>7754.81088</v>
      </c>
      <c r="S158" s="161">
        <f t="shared" si="168"/>
        <v>8637.709499999999</v>
      </c>
      <c r="T158" s="161">
        <f t="shared" ref="T158" si="172">MAX(T148+T153,0)</f>
        <v>8637.709499999999</v>
      </c>
      <c r="U158" s="161">
        <f t="shared" ca="1" si="168"/>
        <v>8790.2715960000005</v>
      </c>
      <c r="V158" s="139"/>
      <c r="W158" s="139"/>
      <c r="X158" s="177"/>
      <c r="Y158" s="33"/>
      <c r="Z158" s="33"/>
      <c r="AA158" s="33"/>
      <c r="AB158" s="33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  <c r="AV158" s="33"/>
      <c r="AW158" s="33"/>
      <c r="AX158" s="33"/>
      <c r="BB158" s="33"/>
      <c r="BC158" s="33"/>
    </row>
    <row r="159" spans="1:55">
      <c r="A159" s="69" t="s">
        <v>36</v>
      </c>
      <c r="D159" s="133">
        <f t="shared" ref="D159:U159" ca="1" si="173">IFERROR((MAX(0,(MIN(D21,IF($B$1&gt;0,SUM($D158:$U158),D158))-D20)*D22)+MAX(0,(MIN(D18,IF($B$1&gt;0,SUM($D158:$U158),D158))-D17)*D19)+MAX(0,(MIN(D15,IF($B$1&gt;0,SUM($D158:$U158),D158))-D14)*D16)+MAX(0,(MIN(D12,IF($B$1&gt;0,SUM($D158:$U158),D158))-D11)*D13)+MAX(0,(MIN(D9,IF($B$1&gt;0,SUM($D158:$U158),D158))-D8)*D10)+MAX(0,(MIN(D6,IF($B$1&gt;0,SUM($D158:$U158),D158))-D5)*D7)+MAX(0,(MIN(D3,IF($B$1&gt;0,SUM($D158:$U158),D158))-D2)*D4))/D124*D158/(IF($B$1&gt;0,SUM($D158:$U158),D158)),0)</f>
        <v>151.76018366666668</v>
      </c>
      <c r="E159" s="133">
        <f t="shared" ca="1" si="173"/>
        <v>151.76018366666668</v>
      </c>
      <c r="F159" s="133">
        <f t="shared" ca="1" si="173"/>
        <v>158.56866666666667</v>
      </c>
      <c r="G159" s="133">
        <f t="shared" ca="1" si="173"/>
        <v>160.34581566666665</v>
      </c>
      <c r="H159" s="133">
        <f t="shared" ca="1" si="173"/>
        <v>168.23451699999995</v>
      </c>
      <c r="I159" s="133">
        <f t="shared" ca="1" si="173"/>
        <v>168.23451699999995</v>
      </c>
      <c r="J159" s="133">
        <f t="shared" ca="1" si="173"/>
        <v>173.184</v>
      </c>
      <c r="K159" s="133">
        <f t="shared" ca="1" si="173"/>
        <v>176.82014899999999</v>
      </c>
      <c r="L159" s="133">
        <f t="shared" ca="1" si="173"/>
        <v>162.94666666666666</v>
      </c>
      <c r="M159" s="133">
        <f t="shared" ca="1" si="173"/>
        <v>150.83660574400002</v>
      </c>
      <c r="N159" s="133">
        <f t="shared" ca="1" si="173"/>
        <v>152.57904886399999</v>
      </c>
      <c r="O159" s="133">
        <f t="shared" ca="1" si="173"/>
        <v>161.62557312000004</v>
      </c>
      <c r="P159" s="133">
        <f t="shared" ca="1" si="173"/>
        <v>167.22307712000003</v>
      </c>
      <c r="Q159" s="133">
        <f t="shared" ca="1" si="173"/>
        <v>142.61153279999999</v>
      </c>
      <c r="R159" s="133">
        <f t="shared" ca="1" si="173"/>
        <v>142.17153279999997</v>
      </c>
      <c r="S159" s="133">
        <f t="shared" si="173"/>
        <v>158.35800749999999</v>
      </c>
      <c r="T159" s="133">
        <f t="shared" si="173"/>
        <v>158.35800749999999</v>
      </c>
      <c r="U159" s="133">
        <f t="shared" ca="1" si="173"/>
        <v>161.15497926</v>
      </c>
    </row>
    <row r="160" spans="1:55">
      <c r="A160" s="70" t="s">
        <v>37</v>
      </c>
      <c r="D160" s="71">
        <f t="shared" ref="D160:U160" ca="1" si="174">IFERROR(MAX((IF($B$1&gt;0,SUM($D159:$U159),D159)-MAX((IF(D137="",D117,0)-MAX((IF($B$1&gt;0,SUM($D158:$U158),D158)-D118),0)/D119*D120),0)/D124),0)*(1-D121)*D158/IF($B$1&gt;0,SUM($D158:$U158),D158),0)</f>
        <v>151.76018366666668</v>
      </c>
      <c r="E160" s="71">
        <f t="shared" ca="1" si="174"/>
        <v>151.76018366666668</v>
      </c>
      <c r="F160" s="71">
        <f t="shared" ca="1" si="174"/>
        <v>158.56866666666667</v>
      </c>
      <c r="G160" s="71">
        <f t="shared" ca="1" si="174"/>
        <v>160.34581566666665</v>
      </c>
      <c r="H160" s="71">
        <f t="shared" ca="1" si="174"/>
        <v>64.067850333333283</v>
      </c>
      <c r="I160" s="71">
        <f t="shared" ca="1" si="174"/>
        <v>64.067850333333283</v>
      </c>
      <c r="J160" s="71">
        <f t="shared" ca="1" si="174"/>
        <v>69.017333333333326</v>
      </c>
      <c r="K160" s="71">
        <f t="shared" ca="1" si="174"/>
        <v>72.653482333333315</v>
      </c>
      <c r="L160" s="71">
        <f t="shared" ca="1" si="174"/>
        <v>58.779999999999987</v>
      </c>
      <c r="M160" s="71">
        <f t="shared" ca="1" si="174"/>
        <v>46.669939077333353</v>
      </c>
      <c r="N160" s="71">
        <f t="shared" ca="1" si="174"/>
        <v>48.412382197333315</v>
      </c>
      <c r="O160" s="71">
        <f t="shared" ca="1" si="174"/>
        <v>57.45890645333337</v>
      </c>
      <c r="P160" s="71">
        <f t="shared" ca="1" si="174"/>
        <v>63.056410453333363</v>
      </c>
      <c r="Q160" s="71">
        <f t="shared" ca="1" si="174"/>
        <v>38.444866133333321</v>
      </c>
      <c r="R160" s="71">
        <f t="shared" ca="1" si="174"/>
        <v>38.004866133333294</v>
      </c>
      <c r="S160" s="71">
        <f t="shared" si="174"/>
        <v>54.191340833333314</v>
      </c>
      <c r="T160" s="71">
        <f t="shared" si="174"/>
        <v>54.191340833333314</v>
      </c>
      <c r="U160" s="71">
        <f t="shared" ca="1" si="174"/>
        <v>56.988312593333333</v>
      </c>
    </row>
    <row r="161" spans="1:59">
      <c r="A161" s="70" t="s">
        <v>38</v>
      </c>
      <c r="D161" s="134">
        <f t="shared" ref="D161:U161" ca="1" si="175">IFERROR((MAX(0,(MIN(D42,IF($B$1&gt;0,SUM($D158:$U158),D158))-D41)*D43)+MAX(0,(MIN(D39,IF($B$1&gt;0,SUM($D158:$U158),D158))-D38)*D40)+MAX(0,(MIN(D36,IF($B$1&gt;0,SUM($D158:$U158),D158))-D35)*D37)+MAX(0,(MIN(D33,IF($B$1&gt;0,SUM($D158:$U158),D158))-D32)*D34)+MAX(0,(MIN(D30,IF($B$1&gt;0,SUM($D158:$U158),D158))-D29)*D31)+MAX(0,(MIN(D27,IF($B$1&gt;0,SUM($D158:$U158),D158))-D26)*D28)+MAX(0,(MIN(D24,IF($B$1&gt;0,SUM($D158:$U158),D158))-D23)*D25))/D124*D158/(IF($B$1&gt;0,SUM($D158:$U158),D158)),0)</f>
        <v>0</v>
      </c>
      <c r="E161" s="134">
        <f t="shared" ca="1" si="175"/>
        <v>0</v>
      </c>
      <c r="F161" s="134">
        <f t="shared" ca="1" si="175"/>
        <v>0</v>
      </c>
      <c r="G161" s="134">
        <f t="shared" ca="1" si="175"/>
        <v>0</v>
      </c>
      <c r="H161" s="134">
        <f t="shared" ca="1" si="175"/>
        <v>0</v>
      </c>
      <c r="I161" s="134">
        <f t="shared" ca="1" si="175"/>
        <v>0</v>
      </c>
      <c r="J161" s="134">
        <f t="shared" ca="1" si="175"/>
        <v>0</v>
      </c>
      <c r="K161" s="134">
        <f t="shared" ca="1" si="175"/>
        <v>0</v>
      </c>
      <c r="L161" s="134">
        <f t="shared" ca="1" si="175"/>
        <v>0</v>
      </c>
      <c r="M161" s="134">
        <f t="shared" ca="1" si="175"/>
        <v>0</v>
      </c>
      <c r="N161" s="134">
        <f t="shared" ca="1" si="175"/>
        <v>0</v>
      </c>
      <c r="O161" s="134">
        <f t="shared" ca="1" si="175"/>
        <v>0</v>
      </c>
      <c r="P161" s="134">
        <f t="shared" ca="1" si="175"/>
        <v>0</v>
      </c>
      <c r="Q161" s="134">
        <f t="shared" ca="1" si="175"/>
        <v>0</v>
      </c>
      <c r="R161" s="134">
        <f t="shared" ca="1" si="175"/>
        <v>0</v>
      </c>
      <c r="S161" s="134">
        <f t="shared" si="175"/>
        <v>0</v>
      </c>
      <c r="T161" s="134">
        <f t="shared" si="175"/>
        <v>0</v>
      </c>
      <c r="U161" s="134">
        <f t="shared" ca="1" si="175"/>
        <v>0</v>
      </c>
    </row>
    <row r="162" spans="1:59">
      <c r="A162" s="57" t="s">
        <v>24</v>
      </c>
      <c r="D162" s="9">
        <f t="shared" ref="D162:U162" ca="1" si="176">IF(D142*D124-D160*D124&gt;0,D142*D124-D160*D124,(1+D116)*(D142*D124-D160*D124))-D161*D124</f>
        <v>578.87779599999976</v>
      </c>
      <c r="E162" s="9">
        <f t="shared" ca="1" si="176"/>
        <v>578.87779599999976</v>
      </c>
      <c r="F162" s="9">
        <f t="shared" ca="1" si="176"/>
        <v>497.17599999999993</v>
      </c>
      <c r="G162" s="9">
        <f t="shared" ca="1" si="176"/>
        <v>475.85021200000028</v>
      </c>
      <c r="H162" s="9">
        <f t="shared" ca="1" si="176"/>
        <v>1631.1857960000007</v>
      </c>
      <c r="I162" s="9">
        <f t="shared" ca="1" si="176"/>
        <v>1631.1857960000007</v>
      </c>
      <c r="J162" s="9">
        <f t="shared" ca="1" si="176"/>
        <v>1571.7920000000001</v>
      </c>
      <c r="K162" s="9">
        <f t="shared" ca="1" si="176"/>
        <v>1528.1582120000003</v>
      </c>
      <c r="L162" s="9">
        <f t="shared" ca="1" si="176"/>
        <v>1694.64</v>
      </c>
      <c r="M162" s="9">
        <f t="shared" ca="1" si="176"/>
        <v>1417.2223310720001</v>
      </c>
      <c r="N162" s="9">
        <f t="shared" ref="N162" ca="1" si="177">IF(N142*N124-N160*N124&gt;0,N142*N124-N160*N124,(1+N116)*(N142*N124-N160*N124))-N161*N124</f>
        <v>1364.2610136320004</v>
      </c>
      <c r="O162" s="9">
        <f t="shared" ca="1" si="176"/>
        <v>1346.4611225599999</v>
      </c>
      <c r="P162" s="9">
        <f t="shared" ca="1" si="176"/>
        <v>1279.29107456</v>
      </c>
      <c r="Q162" s="9">
        <f t="shared" ca="1" si="176"/>
        <v>-461.33839359999985</v>
      </c>
      <c r="R162" s="9">
        <f t="shared" ca="1" si="176"/>
        <v>-456.05839359999953</v>
      </c>
      <c r="S162" s="9">
        <f t="shared" si="176"/>
        <v>-650.29608999999982</v>
      </c>
      <c r="T162" s="9">
        <f t="shared" si="176"/>
        <v>-650.29608999999982</v>
      </c>
      <c r="U162" s="9">
        <f t="shared" ca="1" si="176"/>
        <v>-683.85975112000006</v>
      </c>
    </row>
    <row r="163" spans="1:59">
      <c r="A163" s="57" t="s">
        <v>4</v>
      </c>
      <c r="D163" s="9">
        <f t="shared" ref="D163:U163" si="178">D133</f>
        <v>-650</v>
      </c>
      <c r="E163" s="9">
        <f t="shared" si="178"/>
        <v>-650</v>
      </c>
      <c r="F163" s="9">
        <f t="shared" si="178"/>
        <v>-650</v>
      </c>
      <c r="G163" s="9">
        <f t="shared" si="178"/>
        <v>-650</v>
      </c>
      <c r="H163" s="9">
        <f t="shared" si="178"/>
        <v>-500</v>
      </c>
      <c r="I163" s="9">
        <f t="shared" si="178"/>
        <v>-500</v>
      </c>
      <c r="J163" s="9">
        <f t="shared" si="178"/>
        <v>-500</v>
      </c>
      <c r="K163" s="9">
        <f t="shared" si="178"/>
        <v>-500</v>
      </c>
      <c r="L163" s="9">
        <f t="shared" ca="1" si="178"/>
        <v>0</v>
      </c>
      <c r="M163" s="9">
        <f t="shared" si="178"/>
        <v>-500</v>
      </c>
      <c r="N163" s="9">
        <f t="shared" ref="N163" si="179">N133</f>
        <v>-500</v>
      </c>
      <c r="O163" s="9">
        <f t="shared" si="178"/>
        <v>-500</v>
      </c>
      <c r="P163" s="9">
        <f t="shared" si="178"/>
        <v>-500</v>
      </c>
      <c r="Q163" s="9">
        <f t="shared" si="178"/>
        <v>0</v>
      </c>
      <c r="R163" s="9">
        <f t="shared" si="178"/>
        <v>0</v>
      </c>
      <c r="S163" s="9">
        <f t="shared" si="178"/>
        <v>0</v>
      </c>
      <c r="T163" s="9">
        <f t="shared" si="178"/>
        <v>0</v>
      </c>
      <c r="U163" s="9">
        <f t="shared" si="178"/>
        <v>0</v>
      </c>
    </row>
    <row r="164" spans="1:59">
      <c r="A164" s="72" t="s">
        <v>55</v>
      </c>
      <c r="D164" s="73">
        <f t="shared" ref="D164:U164" ca="1" si="180">D143*D124+D163+D162+D153</f>
        <v>6806.7059960000006</v>
      </c>
      <c r="E164" s="73">
        <f t="shared" ca="1" si="180"/>
        <v>6806.7059960000006</v>
      </c>
      <c r="F164" s="73">
        <f t="shared" ca="1" si="180"/>
        <v>7096.3759999999993</v>
      </c>
      <c r="G164" s="73">
        <f t="shared" ca="1" si="180"/>
        <v>7171.9856120000013</v>
      </c>
      <c r="H164" s="73">
        <f t="shared" ca="1" si="180"/>
        <v>7907.613996000001</v>
      </c>
      <c r="I164" s="73">
        <f t="shared" ca="1" si="180"/>
        <v>7907.613996000001</v>
      </c>
      <c r="J164" s="73">
        <f t="shared" ca="1" si="180"/>
        <v>8118.1919999999991</v>
      </c>
      <c r="K164" s="73">
        <f t="shared" ca="1" si="180"/>
        <v>8272.8936119999998</v>
      </c>
      <c r="L164" s="73">
        <f t="shared" ca="1" si="180"/>
        <v>9182.64</v>
      </c>
      <c r="M164" s="73">
        <f t="shared" ca="1" si="180"/>
        <v>7167.4119534720012</v>
      </c>
      <c r="N164" s="73">
        <f t="shared" ref="N164" ca="1" si="181">N143*N124+N163+N162+N153</f>
        <v>7241.5449880320011</v>
      </c>
      <c r="O164" s="73">
        <f t="shared" ca="1" si="180"/>
        <v>7626.4334745600008</v>
      </c>
      <c r="P164" s="73">
        <f t="shared" ca="1" si="180"/>
        <v>7864.581826560001</v>
      </c>
      <c r="Q164" s="73">
        <f t="shared" ca="1" si="180"/>
        <v>7317.4724864000009</v>
      </c>
      <c r="R164" s="73">
        <f t="shared" ca="1" si="180"/>
        <v>7298.7524863999997</v>
      </c>
      <c r="S164" s="73">
        <f t="shared" si="180"/>
        <v>7987.4134100000001</v>
      </c>
      <c r="T164" s="73">
        <f t="shared" si="180"/>
        <v>7987.4134100000001</v>
      </c>
      <c r="U164" s="73">
        <f t="shared" ca="1" si="180"/>
        <v>8106.41184488</v>
      </c>
    </row>
    <row r="165" spans="1:59">
      <c r="A165" s="74" t="s">
        <v>59</v>
      </c>
      <c r="D165" s="75">
        <f ca="1">IFERROR(D164/D157,0)</f>
        <v>0.56722549966666669</v>
      </c>
      <c r="E165" s="75">
        <f t="shared" ref="E165:U165" ca="1" si="182">IFERROR(E164/E157,0)</f>
        <v>0.56722549966666669</v>
      </c>
      <c r="F165" s="75">
        <f t="shared" ca="1" si="182"/>
        <v>0.59136466666666665</v>
      </c>
      <c r="G165" s="75">
        <f t="shared" ca="1" si="182"/>
        <v>0.59766546766666673</v>
      </c>
      <c r="H165" s="75">
        <f t="shared" ca="1" si="182"/>
        <v>0.65896783300000006</v>
      </c>
      <c r="I165" s="75">
        <f t="shared" ca="1" si="182"/>
        <v>0.65896783300000006</v>
      </c>
      <c r="J165" s="75">
        <f t="shared" ca="1" si="182"/>
        <v>0.6765159999999999</v>
      </c>
      <c r="K165" s="75">
        <f t="shared" ca="1" si="182"/>
        <v>0.68940780099999999</v>
      </c>
      <c r="L165" s="75">
        <f t="shared" ca="1" si="182"/>
        <v>0.7652199999999999</v>
      </c>
      <c r="M165" s="75">
        <f t="shared" ca="1" si="182"/>
        <v>0.59728429710310071</v>
      </c>
      <c r="N165" s="75">
        <f t="shared" ref="N165" ca="1" si="183">IFERROR(N164/N157,0)</f>
        <v>0.6061830227300623</v>
      </c>
      <c r="O165" s="75">
        <f t="shared" ca="1" si="182"/>
        <v>0.63553636703188776</v>
      </c>
      <c r="P165" s="75">
        <f t="shared" ca="1" si="182"/>
        <v>0.65538207065594556</v>
      </c>
      <c r="Q165" s="75">
        <f t="shared" ca="1" si="182"/>
        <v>0.60978951411825499</v>
      </c>
      <c r="R165" s="75">
        <f t="shared" ca="1" si="182"/>
        <v>0.60822951375945478</v>
      </c>
      <c r="S165" s="75">
        <f t="shared" ca="1" si="182"/>
        <v>0.66561780524456382</v>
      </c>
      <c r="T165" s="75">
        <f t="shared" ca="1" si="182"/>
        <v>0.66561780524456382</v>
      </c>
      <c r="U165" s="75">
        <f t="shared" ca="1" si="182"/>
        <v>0.67553447127603194</v>
      </c>
    </row>
    <row r="166" spans="1:59">
      <c r="A166" s="72" t="s">
        <v>26</v>
      </c>
      <c r="D166" s="68">
        <f t="shared" ref="D166:U166" ca="1" si="184">D164/D124</f>
        <v>567.22549966666668</v>
      </c>
      <c r="E166" s="68">
        <f t="shared" ca="1" si="184"/>
        <v>567.22549966666668</v>
      </c>
      <c r="F166" s="68">
        <f t="shared" ca="1" si="184"/>
        <v>591.36466666666661</v>
      </c>
      <c r="G166" s="68">
        <f t="shared" ca="1" si="184"/>
        <v>597.66546766666681</v>
      </c>
      <c r="H166" s="68">
        <f t="shared" ca="1" si="184"/>
        <v>658.96783300000004</v>
      </c>
      <c r="I166" s="68">
        <f t="shared" ca="1" si="184"/>
        <v>658.96783300000004</v>
      </c>
      <c r="J166" s="68">
        <f t="shared" ca="1" si="184"/>
        <v>676.51599999999996</v>
      </c>
      <c r="K166" s="68">
        <f t="shared" ca="1" si="184"/>
        <v>689.40780099999995</v>
      </c>
      <c r="L166" s="68">
        <f t="shared" ca="1" si="184"/>
        <v>765.21999999999991</v>
      </c>
      <c r="M166" s="68">
        <f t="shared" ca="1" si="184"/>
        <v>597.28432945600014</v>
      </c>
      <c r="N166" s="68">
        <f t="shared" ref="N166" ca="1" si="185">N164/N124</f>
        <v>603.46208233600009</v>
      </c>
      <c r="O166" s="68">
        <f t="shared" ca="1" si="184"/>
        <v>635.53612288000011</v>
      </c>
      <c r="P166" s="68">
        <f t="shared" ca="1" si="184"/>
        <v>655.38181888000008</v>
      </c>
      <c r="Q166" s="68">
        <f t="shared" ca="1" si="184"/>
        <v>609.78937386666678</v>
      </c>
      <c r="R166" s="68">
        <f t="shared" ca="1" si="184"/>
        <v>608.22937386666661</v>
      </c>
      <c r="S166" s="68">
        <f t="shared" si="184"/>
        <v>665.61778416666664</v>
      </c>
      <c r="T166" s="68">
        <f t="shared" si="184"/>
        <v>665.61778416666664</v>
      </c>
      <c r="U166" s="68">
        <f t="shared" ca="1" si="184"/>
        <v>675.53432040666667</v>
      </c>
    </row>
    <row r="167" spans="1:59" s="127" customFormat="1" ht="12.75" thickBot="1">
      <c r="A167" s="76" t="s">
        <v>31</v>
      </c>
      <c r="B167" s="4"/>
      <c r="C167" s="115"/>
      <c r="D167" s="195">
        <f ca="1">(((D113*SUM(D44,D46,D47)*0+(MAX(D44*D113,D62)+(D46+D47)*D113)*1)*D124+(D114*0+D63*1)*SUM(D48,D49)*D124)*IF(AND($B$1&gt;0,D138&lt;0.001),0,1)-D132+D153-D151)/D124</f>
        <v>-4.736951571734001E-15</v>
      </c>
      <c r="E167" s="195">
        <f t="shared" ref="E167:K167" ca="1" si="186">(((E113*SUM(E44,E46,E47)*0+(MAX(E44*E113,E62)+(E46+E47)*E113)*1)*E124+(E114*0+E63*1)*SUM(E48,E49)*E124)*IF(AND($B$1&gt;0,E138&lt;0.001),0,1)-E132+E153-E151)/E124</f>
        <v>-4.736951571734001E-15</v>
      </c>
      <c r="F167" s="195">
        <f t="shared" ca="1" si="186"/>
        <v>0</v>
      </c>
      <c r="G167" s="195">
        <f t="shared" ca="1" si="186"/>
        <v>3.3158661002138011E-14</v>
      </c>
      <c r="H167" s="195">
        <f t="shared" ca="1" si="186"/>
        <v>0</v>
      </c>
      <c r="I167" s="195">
        <f t="shared" ca="1" si="186"/>
        <v>0</v>
      </c>
      <c r="J167" s="195">
        <f t="shared" ca="1" si="186"/>
        <v>0</v>
      </c>
      <c r="K167" s="195">
        <f t="shared" ca="1" si="186"/>
        <v>3.7895612573872008E-14</v>
      </c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4"/>
      <c r="W167" s="4"/>
      <c r="X167" s="381" t="s">
        <v>202</v>
      </c>
      <c r="Y167" s="33"/>
      <c r="Z167" s="33"/>
      <c r="AA167" s="33"/>
      <c r="AB167" s="33"/>
      <c r="AC167" s="33"/>
      <c r="AD167" s="33"/>
      <c r="AE167" s="33"/>
      <c r="AF167" s="33"/>
      <c r="AG167" s="33"/>
      <c r="AH167" s="33"/>
      <c r="AI167" s="33"/>
      <c r="AJ167" s="33"/>
      <c r="AK167" s="33"/>
      <c r="AL167" s="33"/>
      <c r="AM167" s="33"/>
      <c r="AN167" s="33"/>
      <c r="AO167" s="33"/>
      <c r="AP167" s="33"/>
      <c r="AQ167" s="33"/>
      <c r="AR167" s="33"/>
      <c r="AS167" s="33"/>
      <c r="AT167" s="33"/>
      <c r="AU167" s="33"/>
      <c r="AV167" s="33"/>
      <c r="AW167" s="33"/>
      <c r="AX167" s="33"/>
      <c r="BB167" s="33"/>
      <c r="BC167" s="33"/>
    </row>
    <row r="168" spans="1:59" ht="12.75" thickBot="1">
      <c r="A168" s="78" t="s">
        <v>57</v>
      </c>
      <c r="D168" s="79">
        <f t="shared" ref="D168:U168" ca="1" si="187">D166-D167</f>
        <v>567.22549966666668</v>
      </c>
      <c r="E168" s="79">
        <f t="shared" ca="1" si="187"/>
        <v>567.22549966666668</v>
      </c>
      <c r="F168" s="79">
        <f t="shared" ca="1" si="187"/>
        <v>591.36466666666661</v>
      </c>
      <c r="G168" s="79">
        <f t="shared" ca="1" si="187"/>
        <v>597.66546766666681</v>
      </c>
      <c r="H168" s="79">
        <f t="shared" ca="1" si="187"/>
        <v>658.96783300000004</v>
      </c>
      <c r="I168" s="79">
        <f t="shared" ca="1" si="187"/>
        <v>658.96783300000004</v>
      </c>
      <c r="J168" s="79">
        <f t="shared" ca="1" si="187"/>
        <v>676.51599999999996</v>
      </c>
      <c r="K168" s="79">
        <f t="shared" ca="1" si="187"/>
        <v>689.40780099999995</v>
      </c>
      <c r="L168" s="79">
        <f t="shared" ca="1" si="187"/>
        <v>765.21999999999991</v>
      </c>
      <c r="M168" s="79">
        <f t="shared" ca="1" si="187"/>
        <v>597.28432945600014</v>
      </c>
      <c r="N168" s="79">
        <f t="shared" ref="N168" ca="1" si="188">N166-N167</f>
        <v>603.46208233600009</v>
      </c>
      <c r="O168" s="79">
        <f t="shared" ca="1" si="187"/>
        <v>635.53612288000011</v>
      </c>
      <c r="P168" s="79">
        <f t="shared" ca="1" si="187"/>
        <v>655.38181888000008</v>
      </c>
      <c r="Q168" s="79">
        <f t="shared" ca="1" si="187"/>
        <v>609.78937386666678</v>
      </c>
      <c r="R168" s="79">
        <f t="shared" ca="1" si="187"/>
        <v>608.22937386666661</v>
      </c>
      <c r="S168" s="79">
        <f t="shared" si="187"/>
        <v>665.61778416666664</v>
      </c>
      <c r="T168" s="79">
        <f t="shared" si="187"/>
        <v>665.61778416666664</v>
      </c>
      <c r="U168" s="79">
        <f t="shared" ca="1" si="187"/>
        <v>675.53432040666667</v>
      </c>
    </row>
    <row r="169" spans="1:59" s="128" customFormat="1" ht="13.5" thickBot="1">
      <c r="A169" s="160" t="s">
        <v>58</v>
      </c>
      <c r="B169" s="4"/>
      <c r="D169" s="81">
        <f t="shared" ref="D169:U169" ca="1" si="189">D168</f>
        <v>567.22549966666668</v>
      </c>
      <c r="E169" s="81">
        <f t="shared" ca="1" si="189"/>
        <v>567.22549966666668</v>
      </c>
      <c r="F169" s="81">
        <f t="shared" ca="1" si="189"/>
        <v>591.36466666666661</v>
      </c>
      <c r="G169" s="81">
        <f t="shared" ca="1" si="189"/>
        <v>597.66546766666681</v>
      </c>
      <c r="H169" s="81">
        <f t="shared" ca="1" si="189"/>
        <v>658.96783300000004</v>
      </c>
      <c r="I169" s="81">
        <f t="shared" ca="1" si="189"/>
        <v>658.96783300000004</v>
      </c>
      <c r="J169" s="81">
        <f t="shared" ca="1" si="189"/>
        <v>676.51599999999996</v>
      </c>
      <c r="K169" s="81">
        <f t="shared" ca="1" si="189"/>
        <v>689.40780099999995</v>
      </c>
      <c r="L169" s="81">
        <f t="shared" ca="1" si="189"/>
        <v>765.21999999999991</v>
      </c>
      <c r="M169" s="81">
        <f t="shared" ca="1" si="189"/>
        <v>597.28432945600014</v>
      </c>
      <c r="N169" s="81">
        <f t="shared" ref="N169" ca="1" si="190">N168</f>
        <v>603.46208233600009</v>
      </c>
      <c r="O169" s="81">
        <f t="shared" ca="1" si="189"/>
        <v>635.53612288000011</v>
      </c>
      <c r="P169" s="81">
        <f t="shared" ca="1" si="189"/>
        <v>655.38181888000008</v>
      </c>
      <c r="Q169" s="81">
        <f t="shared" ca="1" si="189"/>
        <v>609.78937386666678</v>
      </c>
      <c r="R169" s="81">
        <f t="shared" ca="1" si="189"/>
        <v>608.22937386666661</v>
      </c>
      <c r="S169" s="81">
        <f t="shared" si="189"/>
        <v>665.61778416666664</v>
      </c>
      <c r="T169" s="81">
        <f t="shared" si="189"/>
        <v>665.61778416666664</v>
      </c>
      <c r="U169" s="81">
        <f t="shared" ca="1" si="189"/>
        <v>675.53432040666667</v>
      </c>
      <c r="V169" s="132"/>
      <c r="W169" s="132"/>
      <c r="X169" s="177"/>
      <c r="Y169" s="33"/>
      <c r="Z169" s="33"/>
      <c r="AA169" s="33"/>
      <c r="AB169" s="33"/>
      <c r="AC169" s="33"/>
      <c r="AD169" s="33"/>
      <c r="AE169" s="33"/>
      <c r="AF169" s="33"/>
      <c r="AG169" s="33"/>
      <c r="AH169" s="33"/>
      <c r="AI169" s="33"/>
      <c r="AJ169" s="33"/>
      <c r="AK169" s="33"/>
      <c r="AL169" s="33"/>
      <c r="AM169" s="33"/>
      <c r="AN169" s="33"/>
      <c r="AO169" s="33"/>
      <c r="AP169" s="33"/>
      <c r="AQ169" s="33"/>
      <c r="AR169" s="33"/>
      <c r="AS169" s="33"/>
      <c r="AT169" s="33"/>
      <c r="AU169" s="33"/>
      <c r="AV169" s="33"/>
      <c r="AW169" s="33"/>
      <c r="AX169" s="33"/>
      <c r="BB169" s="33"/>
      <c r="BC169" s="33"/>
    </row>
    <row r="170" spans="1:59" s="128" customFormat="1" ht="13.5" thickBot="1">
      <c r="A170" s="160" t="s">
        <v>128</v>
      </c>
      <c r="B170" s="80"/>
      <c r="D170" s="81">
        <f t="array" ref="D170">IF($B$1&gt;0,$D169+SUM(E169:U169*E124:U124)/$D124,0)</f>
        <v>0</v>
      </c>
      <c r="E170" s="88"/>
      <c r="F170" s="88"/>
      <c r="G170" s="88"/>
      <c r="H170" s="82"/>
      <c r="I170" s="82"/>
      <c r="J170" s="82"/>
      <c r="K170" s="82"/>
      <c r="L170" s="88"/>
      <c r="M170" s="82"/>
      <c r="N170" s="82"/>
      <c r="O170" s="82"/>
      <c r="P170" s="82"/>
      <c r="Q170" s="82"/>
      <c r="R170" s="82"/>
      <c r="S170" s="82"/>
      <c r="T170" s="82"/>
      <c r="U170" s="82"/>
      <c r="V170" s="132"/>
      <c r="W170" s="132"/>
      <c r="X170" s="177"/>
      <c r="Y170" s="33"/>
      <c r="Z170" s="33"/>
      <c r="AA170" s="33"/>
      <c r="AB170" s="33"/>
      <c r="AC170" s="33"/>
      <c r="AD170" s="33"/>
      <c r="AE170" s="33"/>
      <c r="AF170" s="33"/>
      <c r="AG170" s="33"/>
      <c r="AH170" s="33"/>
      <c r="AI170" s="33"/>
      <c r="AJ170" s="33"/>
      <c r="AK170" s="33"/>
      <c r="AL170" s="33"/>
      <c r="AM170" s="33"/>
      <c r="AN170" s="33"/>
      <c r="AO170" s="33"/>
      <c r="AP170" s="33"/>
      <c r="AQ170" s="33"/>
      <c r="AR170" s="33"/>
      <c r="AS170" s="33"/>
      <c r="AT170" s="33"/>
      <c r="AU170" s="33"/>
      <c r="AV170" s="33"/>
      <c r="AW170" s="33"/>
      <c r="AX170" s="33"/>
      <c r="BB170" s="33"/>
      <c r="BC170" s="33"/>
    </row>
    <row r="171" spans="1:59" s="129" customFormat="1" ht="12" customHeight="1">
      <c r="A171" s="82"/>
      <c r="B171" s="82"/>
      <c r="C171" s="92"/>
      <c r="D171" s="88"/>
      <c r="E171" s="88"/>
      <c r="F171" s="88"/>
      <c r="G171" s="88"/>
      <c r="H171" s="82"/>
      <c r="I171" s="82"/>
      <c r="J171" s="82"/>
      <c r="K171" s="82"/>
      <c r="L171" s="88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177"/>
      <c r="Y171" s="33"/>
      <c r="Z171" s="33"/>
      <c r="AA171" s="33"/>
      <c r="AB171" s="33"/>
      <c r="AC171" s="33"/>
      <c r="AD171" s="33"/>
      <c r="AE171" s="33"/>
      <c r="AF171" s="33"/>
      <c r="AG171" s="33"/>
      <c r="AH171" s="33"/>
      <c r="AI171" s="33"/>
      <c r="AJ171" s="33"/>
      <c r="AK171" s="33"/>
      <c r="AL171" s="33"/>
      <c r="AM171" s="33"/>
      <c r="AN171" s="33"/>
      <c r="AO171" s="33"/>
      <c r="AP171" s="33"/>
      <c r="AQ171" s="33"/>
      <c r="AU171" s="33"/>
      <c r="AV171" s="33"/>
      <c r="AW171" s="33"/>
      <c r="AX171" s="33"/>
      <c r="BB171" s="33"/>
      <c r="BC171" s="33"/>
    </row>
    <row r="172" spans="1:59" s="129" customFormat="1" ht="13.5" thickBot="1">
      <c r="A172" s="378" t="s">
        <v>203</v>
      </c>
      <c r="B172" s="82"/>
      <c r="C172" s="92"/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  <c r="U172" s="83"/>
      <c r="V172" s="82"/>
      <c r="W172" s="82"/>
      <c r="X172" s="177"/>
      <c r="Y172" s="33"/>
      <c r="Z172" s="33"/>
      <c r="AA172" s="33"/>
      <c r="AB172" s="33"/>
      <c r="AC172" s="33"/>
      <c r="AD172" s="33"/>
      <c r="AE172" s="33"/>
      <c r="AF172" s="33"/>
      <c r="AG172" s="33"/>
      <c r="AH172" s="33"/>
      <c r="AI172" s="33"/>
      <c r="AJ172" s="33"/>
      <c r="AK172" s="33"/>
      <c r="AL172" s="33"/>
      <c r="AM172" s="33"/>
      <c r="AN172" s="33"/>
      <c r="AO172" s="33"/>
      <c r="AP172" s="33"/>
      <c r="AQ172" s="33"/>
      <c r="BB172" s="33"/>
      <c r="BC172" s="33"/>
    </row>
    <row r="173" spans="1:59" s="129" customFormat="1" ht="12.75" customHeight="1" thickTop="1">
      <c r="A173" s="84" t="s">
        <v>62</v>
      </c>
      <c r="B173" s="82"/>
      <c r="C173" s="167" t="s">
        <v>51</v>
      </c>
      <c r="D173" s="85">
        <f t="shared" ref="D173:U173" si="191">D147</f>
        <v>1000</v>
      </c>
      <c r="E173" s="85">
        <f t="shared" si="191"/>
        <v>1000</v>
      </c>
      <c r="F173" s="85">
        <f t="shared" si="191"/>
        <v>1000</v>
      </c>
      <c r="G173" s="85">
        <f t="shared" si="191"/>
        <v>1000</v>
      </c>
      <c r="H173" s="85">
        <f t="shared" si="191"/>
        <v>0</v>
      </c>
      <c r="I173" s="85">
        <f t="shared" si="191"/>
        <v>0</v>
      </c>
      <c r="J173" s="85">
        <f t="shared" si="191"/>
        <v>0</v>
      </c>
      <c r="K173" s="85">
        <f t="shared" si="191"/>
        <v>0</v>
      </c>
      <c r="L173" s="85">
        <f t="shared" si="191"/>
        <v>1000</v>
      </c>
      <c r="M173" s="85">
        <f t="shared" si="191"/>
        <v>0</v>
      </c>
      <c r="N173" s="85">
        <f t="shared" ref="N173" si="192">N147</f>
        <v>0</v>
      </c>
      <c r="O173" s="85">
        <f t="shared" si="191"/>
        <v>0</v>
      </c>
      <c r="P173" s="85">
        <f t="shared" si="191"/>
        <v>0</v>
      </c>
      <c r="Q173" s="85">
        <f t="shared" si="191"/>
        <v>0</v>
      </c>
      <c r="R173" s="85">
        <f t="shared" si="191"/>
        <v>0</v>
      </c>
      <c r="S173" s="85">
        <f t="shared" si="191"/>
        <v>0</v>
      </c>
      <c r="T173" s="85">
        <f t="shared" si="191"/>
        <v>0</v>
      </c>
      <c r="U173" s="85">
        <f t="shared" si="191"/>
        <v>0</v>
      </c>
      <c r="V173" s="5"/>
      <c r="W173" s="5"/>
      <c r="X173" s="177"/>
      <c r="Y173" s="33"/>
      <c r="Z173" s="33"/>
      <c r="AA173" s="33"/>
      <c r="AB173" s="33"/>
      <c r="AC173" s="33"/>
      <c r="AD173" s="33"/>
      <c r="AE173" s="33"/>
      <c r="AF173" s="33"/>
      <c r="AG173" s="33"/>
      <c r="AH173" s="33"/>
      <c r="AI173" s="33"/>
      <c r="AJ173" s="33"/>
      <c r="AK173" s="33"/>
      <c r="AL173" s="33"/>
      <c r="AM173" s="33"/>
      <c r="AN173" s="33"/>
      <c r="AO173" s="33"/>
      <c r="AP173" s="33"/>
      <c r="AQ173" s="33"/>
      <c r="BB173" s="33"/>
      <c r="BC173" s="33"/>
    </row>
    <row r="174" spans="1:59" s="129" customFormat="1" ht="12" customHeight="1">
      <c r="A174" s="86" t="s">
        <v>53</v>
      </c>
      <c r="B174" s="82"/>
      <c r="C174" s="92"/>
      <c r="D174" s="87">
        <f t="shared" ref="D174:U174" ca="1" si="193">D169*D124-D173</f>
        <v>5806.7059960000006</v>
      </c>
      <c r="E174" s="87">
        <f t="shared" ca="1" si="193"/>
        <v>5806.7059960000006</v>
      </c>
      <c r="F174" s="87">
        <f t="shared" ca="1" si="193"/>
        <v>6096.3759999999993</v>
      </c>
      <c r="G174" s="87">
        <f t="shared" ca="1" si="193"/>
        <v>6171.9856120000022</v>
      </c>
      <c r="H174" s="87">
        <f t="shared" ca="1" si="193"/>
        <v>7907.613996</v>
      </c>
      <c r="I174" s="87">
        <f t="shared" ca="1" si="193"/>
        <v>7907.613996</v>
      </c>
      <c r="J174" s="87">
        <f t="shared" ca="1" si="193"/>
        <v>8118.1919999999991</v>
      </c>
      <c r="K174" s="87">
        <f t="shared" ca="1" si="193"/>
        <v>8272.8936119999998</v>
      </c>
      <c r="L174" s="87">
        <f t="shared" ca="1" si="193"/>
        <v>8182.6399999999994</v>
      </c>
      <c r="M174" s="87">
        <f t="shared" ca="1" si="193"/>
        <v>7167.4119534720012</v>
      </c>
      <c r="N174" s="87">
        <f t="shared" ref="N174" ca="1" si="194">N169*N124-N173</f>
        <v>7241.5449880320011</v>
      </c>
      <c r="O174" s="87">
        <f t="shared" ca="1" si="193"/>
        <v>7626.4334745600008</v>
      </c>
      <c r="P174" s="87">
        <f t="shared" ca="1" si="193"/>
        <v>7864.581826560001</v>
      </c>
      <c r="Q174" s="87">
        <f t="shared" ca="1" si="193"/>
        <v>7317.4724864000018</v>
      </c>
      <c r="R174" s="87">
        <f t="shared" ca="1" si="193"/>
        <v>7298.7524863999988</v>
      </c>
      <c r="S174" s="87">
        <f t="shared" si="193"/>
        <v>7987.4134099999992</v>
      </c>
      <c r="T174" s="87">
        <f t="shared" si="193"/>
        <v>7987.4134099999992</v>
      </c>
      <c r="U174" s="87">
        <f t="shared" ca="1" si="193"/>
        <v>8106.41184488</v>
      </c>
      <c r="V174" s="5"/>
      <c r="W174" s="5"/>
      <c r="X174" s="177"/>
      <c r="Y174" s="33"/>
      <c r="Z174" s="33"/>
      <c r="AA174" s="33"/>
      <c r="AB174" s="33"/>
      <c r="AC174" s="33"/>
      <c r="AD174" s="33"/>
      <c r="AE174" s="33"/>
      <c r="AF174" s="33"/>
      <c r="AG174" s="33"/>
      <c r="AH174" s="33"/>
      <c r="AI174" s="33"/>
      <c r="AJ174" s="33"/>
      <c r="AK174" s="33"/>
      <c r="AL174" s="33"/>
      <c r="AM174" s="33"/>
      <c r="AN174" s="33"/>
      <c r="AO174" s="33"/>
      <c r="AP174" s="33"/>
      <c r="AQ174" s="130"/>
      <c r="BB174" s="33"/>
      <c r="BC174" s="33"/>
    </row>
    <row r="175" spans="1:59" s="129" customFormat="1" ht="12.75" customHeight="1" thickBot="1">
      <c r="A175" s="89" t="s">
        <v>56</v>
      </c>
      <c r="B175" s="82"/>
      <c r="C175" s="92"/>
      <c r="D175" s="90">
        <f t="shared" ref="D175:U175" ca="1" si="195">IFERROR(D174/D157,0)</f>
        <v>0.48389216633333337</v>
      </c>
      <c r="E175" s="90">
        <f t="shared" ca="1" si="195"/>
        <v>0.48389216633333337</v>
      </c>
      <c r="F175" s="90">
        <f t="shared" ca="1" si="195"/>
        <v>0.50803133333333328</v>
      </c>
      <c r="G175" s="90">
        <f t="shared" ca="1" si="195"/>
        <v>0.51433213433333347</v>
      </c>
      <c r="H175" s="90">
        <f t="shared" ca="1" si="195"/>
        <v>0.65896783300000006</v>
      </c>
      <c r="I175" s="90">
        <f t="shared" ca="1" si="195"/>
        <v>0.65896783300000006</v>
      </c>
      <c r="J175" s="90">
        <f t="shared" ca="1" si="195"/>
        <v>0.6765159999999999</v>
      </c>
      <c r="K175" s="90">
        <f t="shared" ca="1" si="195"/>
        <v>0.68940780099999999</v>
      </c>
      <c r="L175" s="90">
        <f t="shared" ca="1" si="195"/>
        <v>0.68188666666666664</v>
      </c>
      <c r="M175" s="90">
        <f t="shared" ca="1" si="195"/>
        <v>0.59728429710310071</v>
      </c>
      <c r="N175" s="90">
        <f t="shared" ref="N175" ca="1" si="196">IFERROR(N174/N157,0)</f>
        <v>0.6061830227300623</v>
      </c>
      <c r="O175" s="90">
        <f t="shared" ca="1" si="195"/>
        <v>0.63553636703188776</v>
      </c>
      <c r="P175" s="90">
        <f t="shared" ca="1" si="195"/>
        <v>0.65538207065594556</v>
      </c>
      <c r="Q175" s="90">
        <f t="shared" ca="1" si="195"/>
        <v>0.60978951411825499</v>
      </c>
      <c r="R175" s="90">
        <f t="shared" ca="1" si="195"/>
        <v>0.60822951375945467</v>
      </c>
      <c r="S175" s="90">
        <f t="shared" ca="1" si="195"/>
        <v>0.66561780524456371</v>
      </c>
      <c r="T175" s="90">
        <f t="shared" ca="1" si="195"/>
        <v>0.66561780524456371</v>
      </c>
      <c r="U175" s="90">
        <f t="shared" ca="1" si="195"/>
        <v>0.67553447127603194</v>
      </c>
      <c r="V175" s="5"/>
      <c r="W175" s="5"/>
      <c r="X175" s="177"/>
      <c r="Y175" s="33"/>
      <c r="Z175" s="33"/>
      <c r="AA175" s="33"/>
      <c r="AB175" s="33"/>
      <c r="AC175" s="33"/>
      <c r="AD175" s="33"/>
      <c r="AE175" s="33"/>
      <c r="AF175" s="33"/>
      <c r="AG175" s="33"/>
      <c r="AH175" s="33"/>
      <c r="AI175" s="33"/>
      <c r="AJ175" s="33"/>
      <c r="AK175" s="33"/>
      <c r="AL175" s="33"/>
      <c r="AM175" s="33"/>
      <c r="AN175" s="33"/>
      <c r="AO175" s="33"/>
      <c r="AP175" s="33"/>
      <c r="AQ175" s="131"/>
      <c r="BB175" s="33"/>
      <c r="BC175" s="33"/>
    </row>
    <row r="176" spans="1:59" s="130" customFormat="1" ht="12.75" customHeight="1" thickBot="1">
      <c r="A176" s="91" t="s">
        <v>27</v>
      </c>
      <c r="B176" s="82"/>
      <c r="C176" s="92"/>
      <c r="D176" s="93">
        <f t="shared" ref="D176:U176" ca="1" si="197">D174/D124</f>
        <v>483.89216633333336</v>
      </c>
      <c r="E176" s="93">
        <f t="shared" ca="1" si="197"/>
        <v>483.89216633333336</v>
      </c>
      <c r="F176" s="93">
        <f t="shared" ca="1" si="197"/>
        <v>508.03133333333329</v>
      </c>
      <c r="G176" s="93">
        <f t="shared" ca="1" si="197"/>
        <v>514.33213433333356</v>
      </c>
      <c r="H176" s="93">
        <f t="shared" ca="1" si="197"/>
        <v>658.96783300000004</v>
      </c>
      <c r="I176" s="93">
        <f t="shared" ca="1" si="197"/>
        <v>658.96783300000004</v>
      </c>
      <c r="J176" s="93">
        <f t="shared" ca="1" si="197"/>
        <v>676.51599999999996</v>
      </c>
      <c r="K176" s="93">
        <f t="shared" ca="1" si="197"/>
        <v>689.40780099999995</v>
      </c>
      <c r="L176" s="93">
        <f t="shared" ca="1" si="197"/>
        <v>681.88666666666666</v>
      </c>
      <c r="M176" s="93">
        <f t="shared" ca="1" si="197"/>
        <v>597.28432945600014</v>
      </c>
      <c r="N176" s="93">
        <f t="shared" ref="N176" ca="1" si="198">N174/N124</f>
        <v>603.46208233600009</v>
      </c>
      <c r="O176" s="93">
        <f t="shared" ca="1" si="197"/>
        <v>635.53612288000011</v>
      </c>
      <c r="P176" s="93">
        <f t="shared" ca="1" si="197"/>
        <v>655.38181888000008</v>
      </c>
      <c r="Q176" s="93">
        <f t="shared" ca="1" si="197"/>
        <v>609.78937386666678</v>
      </c>
      <c r="R176" s="93">
        <f t="shared" ca="1" si="197"/>
        <v>608.22937386666661</v>
      </c>
      <c r="S176" s="93">
        <f t="shared" si="197"/>
        <v>665.61778416666664</v>
      </c>
      <c r="T176" s="93">
        <f t="shared" si="197"/>
        <v>665.61778416666664</v>
      </c>
      <c r="U176" s="93">
        <f t="shared" ca="1" si="197"/>
        <v>675.53432040666667</v>
      </c>
      <c r="V176" s="5"/>
      <c r="W176" s="5"/>
      <c r="X176" s="177"/>
      <c r="Y176" s="33"/>
      <c r="Z176" s="33"/>
      <c r="AA176" s="33"/>
      <c r="AB176" s="33"/>
      <c r="AC176" s="33"/>
      <c r="AD176" s="33"/>
      <c r="AE176" s="33"/>
      <c r="AF176" s="33"/>
      <c r="AG176" s="33"/>
      <c r="AH176" s="33"/>
      <c r="AI176" s="33"/>
      <c r="AJ176" s="33"/>
      <c r="AK176" s="33"/>
      <c r="AL176" s="33"/>
      <c r="AM176" s="33"/>
      <c r="AN176" s="33"/>
      <c r="AO176" s="33"/>
      <c r="AP176" s="33"/>
      <c r="AQ176" s="131"/>
      <c r="BB176" s="33"/>
      <c r="BC176" s="33"/>
      <c r="BD176" s="129"/>
      <c r="BE176" s="129"/>
      <c r="BF176" s="129"/>
      <c r="BG176" s="129"/>
    </row>
    <row r="177" spans="1:55" s="128" customFormat="1" ht="14.25" thickTop="1" thickBot="1">
      <c r="A177" s="382" t="s">
        <v>132</v>
      </c>
      <c r="B177" s="80"/>
      <c r="D177" s="383">
        <f t="array" ref="D177">IF($B$1&gt;0,$D176+SUM(E176:U176*E124:U124)/$D124,0)</f>
        <v>0</v>
      </c>
      <c r="E177" s="318"/>
      <c r="F177" s="319"/>
      <c r="G177" s="319"/>
      <c r="H177" s="320"/>
      <c r="I177" s="320"/>
      <c r="J177" s="320"/>
      <c r="K177" s="320"/>
      <c r="L177" s="319"/>
      <c r="M177" s="320"/>
      <c r="N177" s="320"/>
      <c r="O177" s="320"/>
      <c r="P177" s="320"/>
      <c r="Q177" s="320"/>
      <c r="R177" s="320"/>
      <c r="S177" s="320"/>
      <c r="T177" s="320"/>
      <c r="U177" s="320"/>
      <c r="V177" s="132"/>
      <c r="W177" s="132"/>
      <c r="X177" s="177"/>
      <c r="Y177" s="33"/>
      <c r="Z177" s="33"/>
      <c r="AA177" s="33"/>
      <c r="AB177" s="33"/>
      <c r="AC177" s="33"/>
      <c r="AD177" s="33"/>
      <c r="AE177" s="33"/>
      <c r="AF177" s="33"/>
      <c r="AG177" s="33"/>
      <c r="AH177" s="33"/>
      <c r="AI177" s="33"/>
      <c r="AJ177" s="33"/>
      <c r="AK177" s="33"/>
      <c r="AL177" s="33"/>
      <c r="AM177" s="33"/>
      <c r="AN177" s="33"/>
      <c r="AO177" s="33"/>
      <c r="AP177" s="33"/>
      <c r="AQ177" s="131"/>
      <c r="BB177" s="33"/>
      <c r="BC177" s="33"/>
    </row>
    <row r="178" spans="1:55" s="129" customFormat="1" ht="12" customHeight="1" thickTop="1">
      <c r="A178" s="82"/>
      <c r="B178" s="82"/>
      <c r="C178" s="92"/>
      <c r="D178" s="88"/>
      <c r="E178" s="88"/>
      <c r="F178" s="88"/>
      <c r="G178" s="88"/>
      <c r="H178" s="82"/>
      <c r="I178" s="82"/>
      <c r="J178" s="82"/>
      <c r="K178" s="82"/>
      <c r="L178" s="88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177"/>
      <c r="Y178" s="33"/>
      <c r="Z178" s="33"/>
      <c r="AA178" s="33"/>
      <c r="AB178" s="33"/>
      <c r="AC178" s="33"/>
      <c r="AD178" s="33"/>
      <c r="AE178" s="33"/>
      <c r="AF178" s="33"/>
      <c r="AG178" s="33"/>
      <c r="AH178" s="33"/>
      <c r="AI178" s="33"/>
      <c r="AJ178" s="33"/>
      <c r="AK178" s="33"/>
      <c r="AL178" s="33"/>
      <c r="AM178" s="33"/>
      <c r="AN178" s="33"/>
      <c r="AO178" s="33"/>
      <c r="AP178" s="33"/>
      <c r="AQ178" s="33"/>
      <c r="AU178" s="33"/>
      <c r="AV178" s="33"/>
      <c r="AW178" s="33"/>
      <c r="AX178" s="33"/>
      <c r="BB178" s="33"/>
      <c r="BC178" s="33"/>
    </row>
    <row r="179" spans="1:55" s="129" customFormat="1" ht="13.5" customHeight="1" thickBot="1">
      <c r="A179" s="378" t="s">
        <v>204</v>
      </c>
      <c r="B179" s="82"/>
      <c r="C179" s="92"/>
      <c r="D179" s="369"/>
      <c r="E179" s="369"/>
      <c r="F179" s="317"/>
      <c r="G179" s="317"/>
      <c r="H179" s="317"/>
      <c r="I179" s="317"/>
      <c r="J179" s="317"/>
      <c r="K179" s="317"/>
      <c r="L179" s="317"/>
      <c r="M179" s="317"/>
      <c r="N179" s="317"/>
      <c r="O179" s="317"/>
      <c r="P179" s="317"/>
      <c r="Q179" s="317"/>
      <c r="R179" s="317"/>
      <c r="S179" s="317"/>
      <c r="T179" s="317"/>
      <c r="U179" s="317"/>
      <c r="V179" s="5"/>
      <c r="W179" s="5"/>
      <c r="X179" s="177"/>
      <c r="Y179" s="33"/>
      <c r="Z179" s="33"/>
      <c r="AA179" s="33"/>
      <c r="AB179" s="33"/>
      <c r="AC179" s="33"/>
      <c r="AD179" s="33"/>
      <c r="AE179" s="33"/>
      <c r="AF179" s="33"/>
      <c r="AG179" s="33"/>
      <c r="AH179" s="33"/>
      <c r="AI179" s="33"/>
      <c r="AJ179" s="33"/>
      <c r="AK179" s="33"/>
      <c r="AL179" s="33"/>
      <c r="AM179" s="33"/>
      <c r="AN179" s="33"/>
      <c r="AO179" s="33"/>
      <c r="AP179" s="33"/>
      <c r="AQ179" s="131"/>
      <c r="BB179" s="33"/>
      <c r="BC179" s="33"/>
    </row>
    <row r="180" spans="1:55" s="129" customFormat="1" ht="12.75" customHeight="1" thickTop="1">
      <c r="A180" s="290" t="s">
        <v>70</v>
      </c>
      <c r="B180" s="82"/>
      <c r="C180" s="167" t="s">
        <v>72</v>
      </c>
      <c r="D180" s="296">
        <v>22296</v>
      </c>
      <c r="E180" s="296">
        <v>22296</v>
      </c>
      <c r="F180" s="296">
        <v>22296</v>
      </c>
      <c r="G180" s="296">
        <v>22296</v>
      </c>
      <c r="H180" s="296">
        <v>22296</v>
      </c>
      <c r="I180" s="296">
        <v>22296</v>
      </c>
      <c r="J180" s="296">
        <v>22296</v>
      </c>
      <c r="K180" s="296">
        <v>22296</v>
      </c>
      <c r="L180" s="296">
        <v>22296</v>
      </c>
      <c r="M180" s="296">
        <v>22296</v>
      </c>
      <c r="N180" s="296">
        <v>22296</v>
      </c>
      <c r="O180" s="296">
        <v>22296</v>
      </c>
      <c r="P180" s="296">
        <v>22296</v>
      </c>
      <c r="Q180" s="296">
        <v>22296</v>
      </c>
      <c r="R180" s="296">
        <v>22296</v>
      </c>
      <c r="S180" s="296">
        <v>22296</v>
      </c>
      <c r="T180" s="296">
        <v>22296</v>
      </c>
      <c r="U180" s="296">
        <v>22296</v>
      </c>
      <c r="V180" s="151"/>
      <c r="W180" s="151"/>
      <c r="X180" s="177"/>
      <c r="Y180" s="33"/>
      <c r="Z180" s="33"/>
      <c r="AA180" s="33"/>
      <c r="AB180" s="33"/>
      <c r="AC180" s="33"/>
      <c r="AD180" s="33"/>
      <c r="AE180" s="33"/>
      <c r="AF180" s="33"/>
      <c r="AG180" s="33"/>
      <c r="AH180" s="33"/>
      <c r="AI180" s="33"/>
      <c r="AJ180" s="33"/>
      <c r="AK180" s="33"/>
      <c r="AL180" s="33"/>
      <c r="AM180" s="33"/>
      <c r="AN180" s="33"/>
      <c r="AO180" s="33"/>
      <c r="AP180" s="33"/>
      <c r="AQ180" s="130"/>
      <c r="BB180" s="33"/>
      <c r="BC180" s="33"/>
    </row>
    <row r="181" spans="1:55" s="129" customFormat="1" ht="12" customHeight="1">
      <c r="A181" s="290" t="s">
        <v>71</v>
      </c>
      <c r="B181" s="82"/>
      <c r="C181" s="121" t="s">
        <v>72</v>
      </c>
      <c r="D181" s="296">
        <f t="shared" ref="D181:U181" si="199">D180+24*365</f>
        <v>31056</v>
      </c>
      <c r="E181" s="297">
        <f t="shared" si="199"/>
        <v>31056</v>
      </c>
      <c r="F181" s="297">
        <f t="shared" si="199"/>
        <v>31056</v>
      </c>
      <c r="G181" s="297">
        <f t="shared" si="199"/>
        <v>31056</v>
      </c>
      <c r="H181" s="297">
        <f t="shared" si="199"/>
        <v>31056</v>
      </c>
      <c r="I181" s="297">
        <f t="shared" si="199"/>
        <v>31056</v>
      </c>
      <c r="J181" s="297">
        <f t="shared" si="199"/>
        <v>31056</v>
      </c>
      <c r="K181" s="297">
        <f t="shared" si="199"/>
        <v>31056</v>
      </c>
      <c r="L181" s="297">
        <f t="shared" si="199"/>
        <v>31056</v>
      </c>
      <c r="M181" s="297">
        <f t="shared" si="199"/>
        <v>31056</v>
      </c>
      <c r="N181" s="297">
        <f t="shared" si="199"/>
        <v>31056</v>
      </c>
      <c r="O181" s="297">
        <f t="shared" si="199"/>
        <v>31056</v>
      </c>
      <c r="P181" s="297">
        <f t="shared" si="199"/>
        <v>31056</v>
      </c>
      <c r="Q181" s="297">
        <f t="shared" si="199"/>
        <v>31056</v>
      </c>
      <c r="R181" s="297">
        <f t="shared" si="199"/>
        <v>31056</v>
      </c>
      <c r="S181" s="297">
        <f t="shared" si="199"/>
        <v>31056</v>
      </c>
      <c r="T181" s="297">
        <f t="shared" si="199"/>
        <v>31056</v>
      </c>
      <c r="U181" s="297">
        <f t="shared" si="199"/>
        <v>31056</v>
      </c>
      <c r="V181" s="151"/>
      <c r="W181" s="151"/>
      <c r="X181" s="177"/>
      <c r="Y181" s="33"/>
      <c r="Z181" s="33"/>
      <c r="AA181" s="33"/>
      <c r="AB181" s="33"/>
      <c r="AC181" s="33"/>
      <c r="AD181" s="33"/>
      <c r="AE181" s="33"/>
      <c r="AF181" s="33"/>
      <c r="AG181" s="33"/>
      <c r="AH181" s="33"/>
      <c r="AI181" s="33"/>
      <c r="AJ181" s="33"/>
      <c r="AK181" s="33"/>
      <c r="AL181" s="33"/>
      <c r="AM181" s="33"/>
      <c r="AN181" s="33"/>
      <c r="AO181" s="33"/>
      <c r="AP181" s="33"/>
      <c r="AQ181" s="130"/>
      <c r="BB181" s="33"/>
      <c r="BC181" s="33"/>
    </row>
    <row r="182" spans="1:55" s="129" customFormat="1" ht="12" customHeight="1">
      <c r="A182" s="290" t="s">
        <v>73</v>
      </c>
      <c r="B182" s="82"/>
      <c r="C182" s="121" t="s">
        <v>72</v>
      </c>
      <c r="D182" s="296">
        <f>D181+43*365</f>
        <v>46751</v>
      </c>
      <c r="E182" s="297">
        <f t="shared" ref="E182:U182" si="200">E181+43*365</f>
        <v>46751</v>
      </c>
      <c r="F182" s="297">
        <f t="shared" si="200"/>
        <v>46751</v>
      </c>
      <c r="G182" s="297">
        <f t="shared" si="200"/>
        <v>46751</v>
      </c>
      <c r="H182" s="297">
        <f t="shared" si="200"/>
        <v>46751</v>
      </c>
      <c r="I182" s="297">
        <f t="shared" si="200"/>
        <v>46751</v>
      </c>
      <c r="J182" s="297">
        <f t="shared" si="200"/>
        <v>46751</v>
      </c>
      <c r="K182" s="297">
        <f t="shared" si="200"/>
        <v>46751</v>
      </c>
      <c r="L182" s="297">
        <f t="shared" si="200"/>
        <v>46751</v>
      </c>
      <c r="M182" s="297">
        <f t="shared" si="200"/>
        <v>46751</v>
      </c>
      <c r="N182" s="297">
        <f t="shared" si="200"/>
        <v>46751</v>
      </c>
      <c r="O182" s="297">
        <f t="shared" si="200"/>
        <v>46751</v>
      </c>
      <c r="P182" s="297">
        <f t="shared" si="200"/>
        <v>46751</v>
      </c>
      <c r="Q182" s="297">
        <f t="shared" si="200"/>
        <v>46751</v>
      </c>
      <c r="R182" s="297">
        <f t="shared" si="200"/>
        <v>46751</v>
      </c>
      <c r="S182" s="297">
        <f t="shared" si="200"/>
        <v>46751</v>
      </c>
      <c r="T182" s="297">
        <f t="shared" si="200"/>
        <v>46751</v>
      </c>
      <c r="U182" s="297">
        <f t="shared" si="200"/>
        <v>46751</v>
      </c>
      <c r="V182" s="151"/>
      <c r="W182" s="151"/>
      <c r="X182" s="177"/>
      <c r="Y182" s="33"/>
      <c r="Z182" s="33"/>
      <c r="AA182" s="33"/>
      <c r="AB182" s="33"/>
      <c r="AC182" s="33"/>
      <c r="AD182" s="33"/>
      <c r="AE182" s="33"/>
      <c r="AF182" s="33"/>
      <c r="AG182" s="33"/>
      <c r="AH182" s="33"/>
      <c r="AI182" s="33"/>
      <c r="AJ182" s="33"/>
      <c r="AK182" s="33"/>
      <c r="AL182" s="33"/>
      <c r="AM182" s="33"/>
      <c r="AN182" s="33"/>
      <c r="AO182" s="33"/>
      <c r="AP182" s="33"/>
      <c r="AQ182" s="130"/>
      <c r="BB182" s="33"/>
      <c r="BC182" s="33"/>
    </row>
    <row r="183" spans="1:55" s="129" customFormat="1" ht="11.25" customHeight="1">
      <c r="A183" s="84" t="s">
        <v>45</v>
      </c>
      <c r="B183" s="82"/>
      <c r="C183" s="92"/>
      <c r="D183" s="149">
        <f>YEARFRAC(D180,D181,3)</f>
        <v>24</v>
      </c>
      <c r="E183" s="149">
        <f t="shared" ref="E183:U183" si="201">YEARFRAC(E180,E181,3)</f>
        <v>24</v>
      </c>
      <c r="F183" s="149">
        <f t="shared" si="201"/>
        <v>24</v>
      </c>
      <c r="G183" s="149">
        <f t="shared" si="201"/>
        <v>24</v>
      </c>
      <c r="H183" s="149">
        <f t="shared" si="201"/>
        <v>24</v>
      </c>
      <c r="I183" s="149">
        <f t="shared" si="201"/>
        <v>24</v>
      </c>
      <c r="J183" s="149">
        <f t="shared" si="201"/>
        <v>24</v>
      </c>
      <c r="K183" s="149">
        <f t="shared" si="201"/>
        <v>24</v>
      </c>
      <c r="L183" s="149">
        <f t="shared" si="201"/>
        <v>24</v>
      </c>
      <c r="M183" s="149">
        <f t="shared" si="201"/>
        <v>24</v>
      </c>
      <c r="N183" s="149">
        <f t="shared" si="201"/>
        <v>24</v>
      </c>
      <c r="O183" s="149">
        <f t="shared" si="201"/>
        <v>24</v>
      </c>
      <c r="P183" s="149">
        <f t="shared" si="201"/>
        <v>24</v>
      </c>
      <c r="Q183" s="149">
        <f t="shared" si="201"/>
        <v>24</v>
      </c>
      <c r="R183" s="149">
        <f t="shared" si="201"/>
        <v>24</v>
      </c>
      <c r="S183" s="149">
        <f t="shared" si="201"/>
        <v>24</v>
      </c>
      <c r="T183" s="149">
        <f t="shared" si="201"/>
        <v>24</v>
      </c>
      <c r="U183" s="149">
        <f t="shared" si="201"/>
        <v>24</v>
      </c>
      <c r="V183" s="151"/>
      <c r="W183" s="151"/>
      <c r="X183" s="177"/>
      <c r="Y183" s="33"/>
      <c r="Z183" s="33"/>
      <c r="AA183" s="33"/>
      <c r="AB183" s="33"/>
      <c r="AC183" s="33"/>
      <c r="AD183" s="33"/>
      <c r="AE183" s="33"/>
      <c r="AF183" s="33"/>
      <c r="AG183" s="33"/>
      <c r="AH183" s="33"/>
      <c r="AI183" s="33"/>
      <c r="AJ183" s="33"/>
      <c r="AK183" s="33"/>
      <c r="AL183" s="33"/>
      <c r="AM183" s="33"/>
      <c r="AN183" s="33"/>
      <c r="AO183" s="33"/>
      <c r="AP183" s="33"/>
      <c r="AQ183" s="33"/>
      <c r="BB183" s="33"/>
      <c r="BC183" s="33"/>
    </row>
    <row r="184" spans="1:55" s="129" customFormat="1" ht="11.25" customHeight="1">
      <c r="A184" s="84" t="s">
        <v>152</v>
      </c>
      <c r="B184" s="82"/>
      <c r="C184" s="92"/>
      <c r="D184" s="286">
        <f>MAX(YEARFRAC(D181,D182,3),0.0001)</f>
        <v>43</v>
      </c>
      <c r="E184" s="286">
        <f t="shared" ref="E184:U184" si="202">MAX(YEARFRAC(E181,E182,3),0.0001)</f>
        <v>43</v>
      </c>
      <c r="F184" s="286">
        <f t="shared" si="202"/>
        <v>43</v>
      </c>
      <c r="G184" s="286">
        <f t="shared" si="202"/>
        <v>43</v>
      </c>
      <c r="H184" s="286">
        <f t="shared" si="202"/>
        <v>43</v>
      </c>
      <c r="I184" s="286">
        <f t="shared" si="202"/>
        <v>43</v>
      </c>
      <c r="J184" s="286">
        <f t="shared" si="202"/>
        <v>43</v>
      </c>
      <c r="K184" s="286">
        <f t="shared" si="202"/>
        <v>43</v>
      </c>
      <c r="L184" s="286">
        <f t="shared" si="202"/>
        <v>43</v>
      </c>
      <c r="M184" s="286">
        <f t="shared" si="202"/>
        <v>43</v>
      </c>
      <c r="N184" s="286">
        <f t="shared" si="202"/>
        <v>43</v>
      </c>
      <c r="O184" s="286">
        <f t="shared" si="202"/>
        <v>43</v>
      </c>
      <c r="P184" s="286">
        <f t="shared" si="202"/>
        <v>43</v>
      </c>
      <c r="Q184" s="286">
        <f t="shared" si="202"/>
        <v>43</v>
      </c>
      <c r="R184" s="286">
        <f t="shared" si="202"/>
        <v>43</v>
      </c>
      <c r="S184" s="286">
        <f t="shared" si="202"/>
        <v>43</v>
      </c>
      <c r="T184" s="286">
        <f t="shared" si="202"/>
        <v>43</v>
      </c>
      <c r="U184" s="286">
        <f t="shared" si="202"/>
        <v>43</v>
      </c>
      <c r="V184" s="151"/>
      <c r="W184" s="151"/>
      <c r="X184" s="177"/>
      <c r="Y184" s="33"/>
      <c r="Z184" s="33"/>
      <c r="AA184" s="33"/>
      <c r="AB184" s="33"/>
      <c r="AC184" s="33"/>
      <c r="AD184" s="33"/>
      <c r="AE184" s="33"/>
      <c r="AF184" s="33"/>
      <c r="AG184" s="33"/>
      <c r="AH184" s="33"/>
      <c r="AI184" s="33"/>
      <c r="AJ184" s="33"/>
      <c r="AK184" s="33"/>
      <c r="AL184" s="33"/>
      <c r="AM184" s="33"/>
      <c r="AN184" s="33"/>
      <c r="AO184" s="33"/>
      <c r="AP184" s="33"/>
      <c r="AQ184" s="33"/>
      <c r="BB184" s="33"/>
      <c r="BC184" s="33"/>
    </row>
    <row r="185" spans="1:55" s="129" customFormat="1" ht="12" customHeight="1">
      <c r="A185" s="291" t="s">
        <v>131</v>
      </c>
      <c r="B185" s="82"/>
      <c r="C185" s="121" t="s">
        <v>144</v>
      </c>
      <c r="D185" s="307">
        <v>15</v>
      </c>
      <c r="E185" s="307">
        <v>15</v>
      </c>
      <c r="F185" s="307">
        <v>20</v>
      </c>
      <c r="G185" s="307">
        <v>43</v>
      </c>
      <c r="H185" s="307">
        <v>5</v>
      </c>
      <c r="I185" s="307">
        <v>5</v>
      </c>
      <c r="J185" s="307">
        <v>21</v>
      </c>
      <c r="K185" s="307">
        <v>43</v>
      </c>
      <c r="L185" s="307">
        <v>25</v>
      </c>
      <c r="M185" s="307">
        <v>43</v>
      </c>
      <c r="N185" s="307">
        <v>10</v>
      </c>
      <c r="O185" s="307">
        <v>43</v>
      </c>
      <c r="P185" s="307">
        <v>43</v>
      </c>
      <c r="Q185" s="307">
        <v>25</v>
      </c>
      <c r="R185" s="307">
        <v>43</v>
      </c>
      <c r="S185" s="307">
        <v>5</v>
      </c>
      <c r="T185" s="307">
        <v>5</v>
      </c>
      <c r="U185" s="307">
        <v>43</v>
      </c>
      <c r="V185" s="151"/>
      <c r="W185" s="151"/>
      <c r="X185" s="177"/>
      <c r="Y185" s="33">
        <v>15</v>
      </c>
      <c r="Z185" s="33">
        <v>15</v>
      </c>
      <c r="AA185" s="33">
        <v>20</v>
      </c>
      <c r="AB185" s="33">
        <v>43</v>
      </c>
      <c r="AC185" s="33">
        <v>5</v>
      </c>
      <c r="AD185" s="33">
        <v>5</v>
      </c>
      <c r="AE185" s="33">
        <v>21</v>
      </c>
      <c r="AF185" s="33">
        <v>43</v>
      </c>
      <c r="AG185" s="33">
        <v>25</v>
      </c>
      <c r="AH185" s="33">
        <v>43</v>
      </c>
      <c r="AI185" s="33">
        <v>10</v>
      </c>
      <c r="AJ185" s="33">
        <v>43</v>
      </c>
      <c r="AK185" s="33">
        <v>43</v>
      </c>
      <c r="AL185" s="33">
        <v>25</v>
      </c>
      <c r="AM185" s="33">
        <v>43</v>
      </c>
      <c r="AN185" s="33">
        <v>5</v>
      </c>
      <c r="AO185" s="33">
        <v>5</v>
      </c>
      <c r="AP185" s="33">
        <v>43</v>
      </c>
      <c r="AQ185" s="33"/>
      <c r="BB185" s="33"/>
      <c r="BC185" s="33"/>
    </row>
    <row r="186" spans="1:55" s="129" customFormat="1" ht="12" customHeight="1">
      <c r="A186" s="291" t="s">
        <v>192</v>
      </c>
      <c r="B186" s="82"/>
      <c r="C186" s="361">
        <f ca="1">SUM(D186:U186)</f>
        <v>88</v>
      </c>
      <c r="D186" s="102">
        <f>IF(D$113&gt;0.001,D$185,0)</f>
        <v>15</v>
      </c>
      <c r="E186" s="315"/>
      <c r="F186" s="315"/>
      <c r="G186" s="315"/>
      <c r="H186" s="102">
        <f>IF(H$113&gt;0.001,H$185,0)</f>
        <v>5</v>
      </c>
      <c r="I186" s="315"/>
      <c r="J186" s="315"/>
      <c r="K186" s="315"/>
      <c r="L186" s="315"/>
      <c r="M186" s="102">
        <f ca="1">IF(M$113&gt;0.001,M$185,0)</f>
        <v>43</v>
      </c>
      <c r="N186" s="315"/>
      <c r="O186" s="315"/>
      <c r="P186" s="315"/>
      <c r="Q186" s="102">
        <f ca="1">IF(Q$113&gt;0.001,Q$185,0)</f>
        <v>25</v>
      </c>
      <c r="R186" s="315"/>
      <c r="S186" s="315"/>
      <c r="T186" s="315"/>
      <c r="U186" s="315"/>
      <c r="V186" s="170"/>
      <c r="W186" s="170"/>
      <c r="X186" s="177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</row>
    <row r="187" spans="1:55" s="129" customFormat="1" ht="12" customHeight="1">
      <c r="A187" s="291" t="s">
        <v>190</v>
      </c>
      <c r="B187" s="82"/>
      <c r="C187" s="362">
        <f t="shared" ref="C187:C192" ca="1" si="203">SUM(D187:U187)</f>
        <v>30</v>
      </c>
      <c r="D187" s="316"/>
      <c r="E187" s="102">
        <f>IF(E$113&gt;0.001,E$185,0)</f>
        <v>15</v>
      </c>
      <c r="F187" s="316"/>
      <c r="G187" s="315"/>
      <c r="H187" s="316"/>
      <c r="I187" s="102">
        <f>IF(I$113&gt;0.001,I$185,0)</f>
        <v>5</v>
      </c>
      <c r="J187" s="316"/>
      <c r="K187" s="315"/>
      <c r="L187" s="315"/>
      <c r="M187" s="316"/>
      <c r="N187" s="102">
        <f ca="1">IF(N$113&gt;0.001,N$185,0)</f>
        <v>10</v>
      </c>
      <c r="O187" s="315"/>
      <c r="P187" s="316"/>
      <c r="Q187" s="316"/>
      <c r="R187" s="315"/>
      <c r="S187" s="315"/>
      <c r="T187" s="315"/>
      <c r="U187" s="315"/>
      <c r="V187" s="170"/>
      <c r="W187" s="170"/>
      <c r="X187" s="177"/>
      <c r="Y187" s="33"/>
      <c r="Z187" s="33"/>
      <c r="AA187" s="33"/>
      <c r="AB187" s="33"/>
      <c r="AC187" s="33"/>
      <c r="AD187" s="33"/>
      <c r="AE187" s="33"/>
      <c r="AF187" s="33"/>
      <c r="AG187" s="33"/>
      <c r="AH187" s="33"/>
      <c r="AI187" s="33"/>
      <c r="AJ187" s="33"/>
      <c r="AK187" s="33"/>
      <c r="AL187" s="33"/>
      <c r="AM187" s="33"/>
      <c r="AN187" s="33"/>
      <c r="AO187" s="33"/>
      <c r="AP187" s="33"/>
      <c r="AQ187" s="33"/>
      <c r="AR187" s="33"/>
      <c r="AS187" s="33"/>
      <c r="AT187" s="33"/>
      <c r="AU187" s="33"/>
      <c r="AV187" s="33"/>
      <c r="AW187" s="33"/>
      <c r="AX187" s="33"/>
      <c r="AY187" s="33"/>
      <c r="AZ187" s="33"/>
      <c r="BA187" s="33"/>
      <c r="BB187" s="33"/>
      <c r="BC187" s="33"/>
    </row>
    <row r="188" spans="1:55" s="129" customFormat="1" ht="12" customHeight="1">
      <c r="A188" s="291" t="s">
        <v>147</v>
      </c>
      <c r="B188" s="82"/>
      <c r="C188" s="362">
        <f t="shared" si="203"/>
        <v>84</v>
      </c>
      <c r="D188" s="316"/>
      <c r="E188" s="316"/>
      <c r="F188" s="102">
        <f>IF(F$113&gt;0.001,F$185,0)</f>
        <v>20</v>
      </c>
      <c r="G188" s="315"/>
      <c r="H188" s="315"/>
      <c r="I188" s="315"/>
      <c r="J188" s="102">
        <f>IF(J$113&gt;0.001,J$185,0)</f>
        <v>21</v>
      </c>
      <c r="K188" s="315"/>
      <c r="L188" s="315"/>
      <c r="M188" s="315"/>
      <c r="N188" s="316"/>
      <c r="O188" s="315"/>
      <c r="P188" s="102">
        <f>IF(P$113&gt;0.001,P$185,0)</f>
        <v>43</v>
      </c>
      <c r="Q188" s="315"/>
      <c r="R188" s="315"/>
      <c r="S188" s="315"/>
      <c r="T188" s="315"/>
      <c r="U188" s="315"/>
      <c r="V188" s="170"/>
      <c r="W188" s="170"/>
      <c r="X188" s="177"/>
      <c r="Y188" s="33"/>
      <c r="Z188" s="33"/>
      <c r="AA188" s="33"/>
      <c r="AB188" s="33"/>
      <c r="AC188" s="33"/>
      <c r="AD188" s="33"/>
      <c r="AE188" s="33"/>
      <c r="AF188" s="33"/>
      <c r="AG188" s="33"/>
      <c r="AH188" s="33"/>
      <c r="AI188" s="33"/>
      <c r="AJ188" s="33"/>
      <c r="AK188" s="33"/>
      <c r="AL188" s="33"/>
      <c r="AM188" s="33"/>
      <c r="AN188" s="33"/>
      <c r="AO188" s="33"/>
      <c r="AP188" s="33"/>
      <c r="AQ188" s="33"/>
      <c r="AR188" s="33"/>
      <c r="AS188" s="33"/>
      <c r="AT188" s="33"/>
      <c r="AU188" s="33"/>
      <c r="AV188" s="33"/>
      <c r="AW188" s="33"/>
      <c r="AX188" s="33"/>
      <c r="AY188" s="33"/>
      <c r="AZ188" s="33"/>
      <c r="BA188" s="33"/>
      <c r="BB188" s="33"/>
      <c r="BC188" s="33"/>
    </row>
    <row r="189" spans="1:55" s="129" customFormat="1" ht="12" customHeight="1">
      <c r="A189" s="291" t="s">
        <v>148</v>
      </c>
      <c r="B189" s="82"/>
      <c r="C189" s="362">
        <f t="shared" ca="1" si="203"/>
        <v>172</v>
      </c>
      <c r="D189" s="316"/>
      <c r="E189" s="316"/>
      <c r="F189" s="315"/>
      <c r="G189" s="102">
        <f>IF(G$113&gt;0.001,G$185,0)</f>
        <v>43</v>
      </c>
      <c r="H189" s="315"/>
      <c r="I189" s="315"/>
      <c r="J189" s="315"/>
      <c r="K189" s="102">
        <f>IF(K$113&gt;0.001,K$185,0)</f>
        <v>43</v>
      </c>
      <c r="L189" s="315"/>
      <c r="M189" s="315"/>
      <c r="N189" s="316"/>
      <c r="O189" s="102">
        <f>IF(O$113&gt;0.001,O$185,0)</f>
        <v>43</v>
      </c>
      <c r="P189" s="315"/>
      <c r="Q189" s="315"/>
      <c r="R189" s="102">
        <f ca="1">IF(R$113&gt;0.001,R$185,0)</f>
        <v>43</v>
      </c>
      <c r="S189" s="315"/>
      <c r="T189" s="315"/>
      <c r="U189" s="315"/>
      <c r="V189" s="170"/>
      <c r="W189" s="170"/>
      <c r="X189" s="177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3"/>
      <c r="AV189" s="33"/>
      <c r="AW189" s="33"/>
      <c r="AX189" s="33"/>
      <c r="AY189" s="33"/>
      <c r="AZ189" s="33"/>
      <c r="BA189" s="33"/>
      <c r="BB189" s="33"/>
      <c r="BC189" s="33"/>
    </row>
    <row r="190" spans="1:55" s="129" customFormat="1" ht="12" customHeight="1">
      <c r="A190" s="291" t="s">
        <v>205</v>
      </c>
      <c r="B190" s="82"/>
      <c r="C190" s="362">
        <f t="shared" si="203"/>
        <v>5</v>
      </c>
      <c r="D190" s="316"/>
      <c r="E190" s="316"/>
      <c r="F190" s="315"/>
      <c r="G190" s="315"/>
      <c r="H190" s="315"/>
      <c r="I190" s="315"/>
      <c r="J190" s="315"/>
      <c r="K190" s="315"/>
      <c r="L190" s="315"/>
      <c r="M190" s="315"/>
      <c r="N190" s="316"/>
      <c r="O190" s="315"/>
      <c r="P190" s="315"/>
      <c r="Q190" s="315"/>
      <c r="R190" s="315"/>
      <c r="S190" s="315"/>
      <c r="T190" s="102">
        <f>IF(T$113&gt;0.001,T$185,0)</f>
        <v>5</v>
      </c>
      <c r="U190" s="315"/>
      <c r="V190" s="170"/>
      <c r="W190" s="170"/>
      <c r="X190" s="177"/>
      <c r="Y190" s="33"/>
      <c r="Z190" s="33"/>
      <c r="AA190" s="33"/>
      <c r="AB190" s="33"/>
      <c r="AC190" s="33"/>
      <c r="AD190" s="33"/>
      <c r="AE190" s="33"/>
      <c r="AF190" s="33"/>
      <c r="AG190" s="33"/>
      <c r="AH190" s="33"/>
      <c r="AI190" s="33"/>
      <c r="AJ190" s="33"/>
      <c r="AK190" s="33"/>
      <c r="AL190" s="33"/>
      <c r="AM190" s="33"/>
      <c r="AN190" s="33"/>
      <c r="AO190" s="33"/>
      <c r="AP190" s="33"/>
      <c r="AQ190" s="33"/>
      <c r="AR190" s="33"/>
      <c r="AS190" s="33"/>
      <c r="AT190" s="33"/>
      <c r="AU190" s="33"/>
      <c r="AV190" s="33"/>
      <c r="AW190" s="33"/>
      <c r="AX190" s="33"/>
      <c r="AY190" s="33"/>
      <c r="AZ190" s="33"/>
      <c r="BA190" s="33"/>
      <c r="BB190" s="33"/>
      <c r="BC190" s="33"/>
    </row>
    <row r="191" spans="1:55" s="129" customFormat="1" ht="12" customHeight="1">
      <c r="A191" s="291" t="s">
        <v>149</v>
      </c>
      <c r="B191" s="82"/>
      <c r="C191" s="362">
        <f t="shared" ca="1" si="203"/>
        <v>68</v>
      </c>
      <c r="D191" s="316"/>
      <c r="E191" s="316"/>
      <c r="F191" s="315"/>
      <c r="G191" s="315"/>
      <c r="H191" s="315"/>
      <c r="I191" s="315"/>
      <c r="J191" s="315"/>
      <c r="K191" s="315"/>
      <c r="L191" s="102">
        <f>IF(L$113&gt;0.001,L$185,0)</f>
        <v>25</v>
      </c>
      <c r="M191" s="315"/>
      <c r="N191" s="316"/>
      <c r="O191" s="315"/>
      <c r="P191" s="315"/>
      <c r="Q191" s="315"/>
      <c r="R191" s="315"/>
      <c r="S191" s="315"/>
      <c r="T191" s="315"/>
      <c r="U191" s="102">
        <f ca="1">IF(U$113&gt;0.001,U$185,0)</f>
        <v>43</v>
      </c>
      <c r="V191" s="170"/>
      <c r="W191" s="170"/>
      <c r="X191" s="177"/>
      <c r="Y191" s="33"/>
      <c r="Z191" s="33"/>
      <c r="AA191" s="33"/>
      <c r="AB191" s="33"/>
      <c r="AC191" s="33"/>
      <c r="AD191" s="33"/>
      <c r="AE191" s="33"/>
      <c r="AF191" s="33"/>
      <c r="AG191" s="33"/>
      <c r="AH191" s="33"/>
      <c r="AI191" s="33"/>
      <c r="AJ191" s="33"/>
      <c r="AK191" s="33"/>
      <c r="AL191" s="33"/>
      <c r="AM191" s="33"/>
      <c r="AN191" s="33"/>
      <c r="AO191" s="33"/>
      <c r="AP191" s="33"/>
      <c r="AQ191" s="33"/>
      <c r="AR191" s="33"/>
      <c r="AS191" s="33"/>
      <c r="AT191" s="33"/>
      <c r="AU191" s="33"/>
      <c r="AV191" s="33"/>
      <c r="AW191" s="33"/>
      <c r="AX191" s="33"/>
      <c r="AY191" s="33"/>
      <c r="AZ191" s="33"/>
      <c r="BA191" s="33"/>
      <c r="BB191" s="33"/>
      <c r="BC191" s="33"/>
    </row>
    <row r="192" spans="1:55" s="129" customFormat="1" ht="12" customHeight="1">
      <c r="A192" s="291" t="s">
        <v>150</v>
      </c>
      <c r="B192" s="82"/>
      <c r="C192" s="363">
        <f t="shared" si="203"/>
        <v>5</v>
      </c>
      <c r="D192" s="316"/>
      <c r="E192" s="316"/>
      <c r="F192" s="315"/>
      <c r="G192" s="315"/>
      <c r="H192" s="315"/>
      <c r="I192" s="315"/>
      <c r="J192" s="315"/>
      <c r="K192" s="315"/>
      <c r="L192" s="315"/>
      <c r="M192" s="315"/>
      <c r="N192" s="316"/>
      <c r="O192" s="315"/>
      <c r="P192" s="315"/>
      <c r="Q192" s="315"/>
      <c r="R192" s="315"/>
      <c r="S192" s="102">
        <f>IF(S$113&gt;0.001,S$185,0)</f>
        <v>5</v>
      </c>
      <c r="T192" s="315"/>
      <c r="U192" s="315"/>
      <c r="V192" s="170"/>
      <c r="W192" s="170"/>
      <c r="X192" s="177"/>
      <c r="Y192" s="33"/>
      <c r="Z192" s="33"/>
      <c r="AA192" s="33"/>
      <c r="AB192" s="33"/>
      <c r="AC192" s="33"/>
      <c r="AD192" s="33"/>
      <c r="AE192" s="33"/>
      <c r="AF192" s="33"/>
      <c r="AG192" s="33"/>
      <c r="AH192" s="33"/>
      <c r="AI192" s="33"/>
      <c r="AJ192" s="33"/>
      <c r="AK192" s="33"/>
      <c r="AL192" s="33"/>
      <c r="AM192" s="33"/>
      <c r="AN192" s="33"/>
      <c r="AO192" s="33"/>
      <c r="AP192" s="33"/>
      <c r="AQ192" s="33"/>
      <c r="AR192" s="33"/>
      <c r="AS192" s="33"/>
      <c r="AT192" s="33"/>
      <c r="AU192" s="33"/>
      <c r="AV192" s="33"/>
      <c r="AW192" s="33"/>
      <c r="AX192" s="33"/>
      <c r="AY192" s="33"/>
      <c r="AZ192" s="33"/>
      <c r="BA192" s="33"/>
      <c r="BB192" s="33"/>
      <c r="BC192" s="33"/>
    </row>
    <row r="193" spans="1:55" s="129" customFormat="1" ht="12" customHeight="1">
      <c r="A193" s="291" t="s">
        <v>193</v>
      </c>
      <c r="B193" s="82"/>
      <c r="C193" s="212" t="s">
        <v>86</v>
      </c>
      <c r="D193" s="313">
        <v>1</v>
      </c>
      <c r="E193" s="102">
        <v>40</v>
      </c>
      <c r="F193" s="314" t="s">
        <v>142</v>
      </c>
      <c r="G193" s="323" t="s">
        <v>145</v>
      </c>
      <c r="J193" s="129" t="s">
        <v>186</v>
      </c>
      <c r="U193" s="312"/>
      <c r="V193" s="170"/>
      <c r="W193" s="170"/>
      <c r="X193" s="177"/>
      <c r="Y193" s="33">
        <v>40</v>
      </c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  <c r="AQ193" s="33"/>
      <c r="AR193" s="33"/>
      <c r="AS193" s="33"/>
      <c r="AT193" s="33"/>
      <c r="AU193" s="33"/>
      <c r="AV193" s="33"/>
      <c r="AW193" s="33"/>
      <c r="AX193" s="33"/>
      <c r="AY193" s="33"/>
      <c r="AZ193" s="33"/>
      <c r="BA193" s="33"/>
      <c r="BB193" s="33"/>
      <c r="BC193" s="33"/>
    </row>
    <row r="194" spans="1:55" s="129" customFormat="1" ht="12" customHeight="1">
      <c r="A194" s="291" t="s">
        <v>191</v>
      </c>
      <c r="B194" s="82"/>
      <c r="C194" s="212" t="s">
        <v>86</v>
      </c>
      <c r="D194" s="313">
        <v>0</v>
      </c>
      <c r="E194" s="102">
        <v>5</v>
      </c>
      <c r="F194" s="314" t="s">
        <v>142</v>
      </c>
      <c r="G194" s="323" t="s">
        <v>145</v>
      </c>
      <c r="U194" s="312"/>
      <c r="V194" s="170"/>
      <c r="W194" s="170"/>
      <c r="X194" s="177"/>
      <c r="Y194" s="33">
        <v>5</v>
      </c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  <c r="AQ194" s="33"/>
      <c r="AR194" s="33"/>
      <c r="AS194" s="33"/>
      <c r="AT194" s="33"/>
      <c r="AU194" s="33"/>
      <c r="AV194" s="33"/>
      <c r="AW194" s="33"/>
      <c r="AX194" s="33"/>
      <c r="AY194" s="33"/>
      <c r="AZ194" s="33"/>
      <c r="BA194" s="33"/>
      <c r="BB194" s="33"/>
      <c r="BC194" s="33"/>
    </row>
    <row r="195" spans="1:55" s="129" customFormat="1" ht="12" customHeight="1">
      <c r="A195" s="291" t="s">
        <v>138</v>
      </c>
      <c r="B195" s="82"/>
      <c r="C195" s="212" t="s">
        <v>86</v>
      </c>
      <c r="D195" s="313">
        <v>0</v>
      </c>
      <c r="E195" s="102">
        <v>41</v>
      </c>
      <c r="F195" s="314" t="s">
        <v>142</v>
      </c>
      <c r="G195" s="323" t="s">
        <v>145</v>
      </c>
      <c r="H195" s="311"/>
      <c r="I195" s="311"/>
      <c r="J195" s="410" t="s">
        <v>188</v>
      </c>
      <c r="L195" s="311"/>
      <c r="M195" s="311"/>
      <c r="N195" s="311"/>
      <c r="O195" s="311"/>
      <c r="P195" s="311"/>
      <c r="Q195" s="311"/>
      <c r="R195" s="311"/>
      <c r="S195" s="311"/>
      <c r="T195" s="311"/>
      <c r="U195" s="312"/>
      <c r="V195" s="170"/>
      <c r="W195" s="170"/>
      <c r="X195" s="177"/>
      <c r="Y195" s="33">
        <v>41</v>
      </c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</row>
    <row r="196" spans="1:55" s="129" customFormat="1" ht="12" customHeight="1">
      <c r="A196" s="291" t="s">
        <v>139</v>
      </c>
      <c r="B196" s="82"/>
      <c r="C196" s="212" t="s">
        <v>86</v>
      </c>
      <c r="D196" s="313">
        <v>0</v>
      </c>
      <c r="E196" s="102">
        <v>0</v>
      </c>
      <c r="F196" s="314" t="s">
        <v>142</v>
      </c>
      <c r="G196" s="323" t="s">
        <v>145</v>
      </c>
      <c r="H196" s="311"/>
      <c r="I196" s="311"/>
      <c r="J196" s="410" t="s">
        <v>187</v>
      </c>
      <c r="L196" s="311"/>
      <c r="M196" s="311"/>
      <c r="N196" s="311"/>
      <c r="O196" s="311"/>
      <c r="P196" s="311"/>
      <c r="Q196" s="311"/>
      <c r="R196" s="311"/>
      <c r="S196" s="311"/>
      <c r="T196" s="311"/>
      <c r="U196" s="312"/>
      <c r="V196" s="170"/>
      <c r="W196" s="170"/>
      <c r="X196" s="177"/>
      <c r="Y196" s="33">
        <v>0</v>
      </c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</row>
    <row r="197" spans="1:55" s="129" customFormat="1" ht="12" customHeight="1">
      <c r="A197" s="291" t="s">
        <v>206</v>
      </c>
      <c r="B197" s="82"/>
      <c r="C197" s="212" t="s">
        <v>86</v>
      </c>
      <c r="D197" s="313">
        <v>0</v>
      </c>
      <c r="E197" s="102">
        <v>5</v>
      </c>
      <c r="F197" s="314" t="s">
        <v>142</v>
      </c>
      <c r="G197" s="323" t="s">
        <v>145</v>
      </c>
      <c r="H197" s="311"/>
      <c r="I197" s="311"/>
      <c r="J197" s="367"/>
      <c r="L197" s="311"/>
      <c r="M197" s="311"/>
      <c r="N197" s="311"/>
      <c r="O197" s="311"/>
      <c r="P197" s="311"/>
      <c r="Q197" s="311"/>
      <c r="R197" s="311"/>
      <c r="S197" s="311"/>
      <c r="T197" s="311"/>
      <c r="U197" s="312"/>
      <c r="V197" s="170"/>
      <c r="W197" s="170"/>
      <c r="X197" s="177"/>
      <c r="Y197" s="33">
        <v>5</v>
      </c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  <c r="BC197" s="33"/>
    </row>
    <row r="198" spans="1:55" s="129" customFormat="1" ht="12" customHeight="1">
      <c r="A198" s="291" t="s">
        <v>140</v>
      </c>
      <c r="B198" s="82"/>
      <c r="C198" s="212" t="s">
        <v>86</v>
      </c>
      <c r="D198" s="313">
        <v>0</v>
      </c>
      <c r="E198" s="102">
        <v>25</v>
      </c>
      <c r="F198" s="314" t="s">
        <v>142</v>
      </c>
      <c r="G198" s="323" t="s">
        <v>145</v>
      </c>
      <c r="H198" s="311"/>
      <c r="I198" s="311"/>
      <c r="J198" s="311"/>
      <c r="L198" s="311"/>
      <c r="M198" s="311"/>
      <c r="N198" s="311"/>
      <c r="O198" s="311"/>
      <c r="P198" s="311"/>
      <c r="Q198" s="311"/>
      <c r="R198" s="311"/>
      <c r="S198" s="311"/>
      <c r="T198" s="311"/>
      <c r="U198" s="312"/>
      <c r="V198" s="170"/>
      <c r="W198" s="170"/>
      <c r="X198" s="177"/>
      <c r="Y198" s="33">
        <v>25</v>
      </c>
      <c r="Z198" s="33"/>
      <c r="AA198" s="33"/>
      <c r="AB198" s="33"/>
      <c r="AC198" s="33"/>
      <c r="AD198" s="33"/>
      <c r="AE198" s="33"/>
      <c r="AF198" s="33"/>
      <c r="AG198" s="33"/>
      <c r="AH198" s="33"/>
      <c r="AI198" s="33"/>
      <c r="AJ198" s="33"/>
      <c r="AK198" s="33"/>
      <c r="AL198" s="33"/>
      <c r="AM198" s="33"/>
      <c r="AN198" s="33"/>
      <c r="AO198" s="33"/>
      <c r="AP198" s="33"/>
      <c r="AQ198" s="33"/>
      <c r="AR198" s="33"/>
      <c r="AS198" s="33"/>
      <c r="AT198" s="33"/>
      <c r="AU198" s="33"/>
      <c r="AV198" s="33"/>
      <c r="AW198" s="33"/>
      <c r="AX198" s="33"/>
      <c r="AY198" s="33"/>
      <c r="AZ198" s="33"/>
      <c r="BA198" s="33"/>
      <c r="BB198" s="33"/>
      <c r="BC198" s="33"/>
    </row>
    <row r="199" spans="1:55" s="129" customFormat="1" ht="12" customHeight="1">
      <c r="A199" s="291" t="s">
        <v>141</v>
      </c>
      <c r="B199" s="82"/>
      <c r="C199" s="212" t="s">
        <v>86</v>
      </c>
      <c r="D199" s="313">
        <v>0</v>
      </c>
      <c r="E199" s="102">
        <v>5</v>
      </c>
      <c r="F199" s="324" t="s">
        <v>142</v>
      </c>
      <c r="G199" s="323" t="s">
        <v>145</v>
      </c>
      <c r="H199" s="311"/>
      <c r="I199" s="311"/>
      <c r="J199" s="311"/>
      <c r="L199" s="311"/>
      <c r="M199" s="311"/>
      <c r="N199" s="311"/>
      <c r="O199" s="311"/>
      <c r="P199" s="311"/>
      <c r="Q199" s="311"/>
      <c r="R199" s="311"/>
      <c r="S199" s="311"/>
      <c r="T199" s="311"/>
      <c r="U199" s="312"/>
      <c r="V199" s="170"/>
      <c r="W199" s="170"/>
      <c r="X199" s="177"/>
      <c r="Y199" s="33">
        <v>5</v>
      </c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  <c r="BC199" s="33"/>
    </row>
    <row r="200" spans="1:55" s="129" customFormat="1" ht="12" customHeight="1">
      <c r="A200" s="345" t="s">
        <v>153</v>
      </c>
      <c r="B200" s="82"/>
      <c r="C200" s="92"/>
      <c r="D200" s="328">
        <f t="shared" ref="D200:U200" si="204">IF($B$1&gt;0,IFERROR(VLOOKUP(1,$D$193:$E$199,2,FALSE),D185),D201)</f>
        <v>15</v>
      </c>
      <c r="E200" s="328">
        <f t="shared" si="204"/>
        <v>15</v>
      </c>
      <c r="F200" s="328">
        <f t="shared" si="204"/>
        <v>20</v>
      </c>
      <c r="G200" s="328">
        <f t="shared" si="204"/>
        <v>43</v>
      </c>
      <c r="H200" s="328">
        <f t="shared" si="204"/>
        <v>5</v>
      </c>
      <c r="I200" s="328">
        <f t="shared" si="204"/>
        <v>5</v>
      </c>
      <c r="J200" s="328">
        <f t="shared" si="204"/>
        <v>21</v>
      </c>
      <c r="K200" s="328">
        <f t="shared" si="204"/>
        <v>43</v>
      </c>
      <c r="L200" s="328">
        <f t="shared" si="204"/>
        <v>25</v>
      </c>
      <c r="M200" s="328">
        <f t="shared" si="204"/>
        <v>43</v>
      </c>
      <c r="N200" s="328">
        <f t="shared" si="204"/>
        <v>10</v>
      </c>
      <c r="O200" s="328">
        <f t="shared" si="204"/>
        <v>43</v>
      </c>
      <c r="P200" s="328">
        <f t="shared" si="204"/>
        <v>43</v>
      </c>
      <c r="Q200" s="328">
        <f t="shared" si="204"/>
        <v>25</v>
      </c>
      <c r="R200" s="328">
        <f t="shared" si="204"/>
        <v>43</v>
      </c>
      <c r="S200" s="328">
        <f t="shared" si="204"/>
        <v>5</v>
      </c>
      <c r="T200" s="328">
        <f t="shared" si="204"/>
        <v>5</v>
      </c>
      <c r="U200" s="328">
        <f t="shared" si="204"/>
        <v>43</v>
      </c>
      <c r="V200" s="151"/>
      <c r="W200" s="151"/>
      <c r="X200" s="177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BB200" s="33"/>
      <c r="BC200" s="33"/>
    </row>
    <row r="201" spans="1:55" s="129" customFormat="1" ht="12" customHeight="1" thickBot="1">
      <c r="A201" s="325" t="s">
        <v>155</v>
      </c>
      <c r="B201" s="82"/>
      <c r="C201" s="92"/>
      <c r="D201" s="391">
        <f>IF($B$1&gt;0,D200,D185)</f>
        <v>15</v>
      </c>
      <c r="E201" s="391">
        <f t="shared" ref="E201:U201" si="205">IF($B$1&gt;0,E200,E185)</f>
        <v>15</v>
      </c>
      <c r="F201" s="391">
        <f t="shared" si="205"/>
        <v>20</v>
      </c>
      <c r="G201" s="391">
        <f t="shared" si="205"/>
        <v>43</v>
      </c>
      <c r="H201" s="391">
        <f t="shared" si="205"/>
        <v>5</v>
      </c>
      <c r="I201" s="391">
        <f t="shared" si="205"/>
        <v>5</v>
      </c>
      <c r="J201" s="391">
        <f t="shared" si="205"/>
        <v>21</v>
      </c>
      <c r="K201" s="391">
        <f t="shared" si="205"/>
        <v>43</v>
      </c>
      <c r="L201" s="391">
        <f t="shared" si="205"/>
        <v>25</v>
      </c>
      <c r="M201" s="391">
        <f t="shared" si="205"/>
        <v>43</v>
      </c>
      <c r="N201" s="391">
        <f t="shared" si="205"/>
        <v>10</v>
      </c>
      <c r="O201" s="391">
        <f t="shared" si="205"/>
        <v>43</v>
      </c>
      <c r="P201" s="391">
        <f t="shared" si="205"/>
        <v>43</v>
      </c>
      <c r="Q201" s="391">
        <f t="shared" si="205"/>
        <v>25</v>
      </c>
      <c r="R201" s="391">
        <f t="shared" si="205"/>
        <v>43</v>
      </c>
      <c r="S201" s="391">
        <f t="shared" si="205"/>
        <v>5</v>
      </c>
      <c r="T201" s="391">
        <f t="shared" si="205"/>
        <v>5</v>
      </c>
      <c r="U201" s="391">
        <f t="shared" si="205"/>
        <v>43</v>
      </c>
      <c r="V201" s="151"/>
      <c r="W201" s="151"/>
      <c r="X201" s="177"/>
      <c r="Y201" s="33"/>
      <c r="Z201" s="33"/>
      <c r="AA201" s="33"/>
      <c r="AB201" s="33"/>
      <c r="AC201" s="33"/>
      <c r="AD201" s="33"/>
      <c r="AE201" s="33"/>
      <c r="AF201" s="33"/>
      <c r="AG201" s="33"/>
      <c r="AH201" s="33"/>
      <c r="AI201" s="33"/>
      <c r="AJ201" s="33"/>
      <c r="AK201" s="33"/>
      <c r="AL201" s="33"/>
      <c r="AM201" s="33"/>
      <c r="AN201" s="33"/>
      <c r="AO201" s="33"/>
      <c r="AP201" s="33"/>
      <c r="AQ201" s="33"/>
      <c r="BB201" s="33"/>
      <c r="BC201" s="33"/>
    </row>
    <row r="202" spans="1:55" s="129" customFormat="1">
      <c r="A202" s="326" t="s">
        <v>195</v>
      </c>
      <c r="B202" s="82"/>
      <c r="C202" s="92"/>
      <c r="D202" s="384">
        <f>$D193</f>
        <v>1</v>
      </c>
      <c r="E202" s="385"/>
      <c r="F202" s="385"/>
      <c r="G202" s="385"/>
      <c r="H202" s="384">
        <f>$D193</f>
        <v>1</v>
      </c>
      <c r="I202" s="385"/>
      <c r="J202" s="385"/>
      <c r="K202" s="385"/>
      <c r="L202" s="385"/>
      <c r="M202" s="384">
        <f>$D193</f>
        <v>1</v>
      </c>
      <c r="N202" s="385"/>
      <c r="O202" s="385"/>
      <c r="P202" s="385"/>
      <c r="Q202" s="384">
        <f>$D193</f>
        <v>1</v>
      </c>
      <c r="R202" s="385"/>
      <c r="S202" s="385"/>
      <c r="T202" s="385"/>
      <c r="U202" s="385"/>
      <c r="V202" s="170"/>
      <c r="W202" s="170"/>
      <c r="X202" s="177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  <c r="BC202" s="33"/>
    </row>
    <row r="203" spans="1:55" s="129" customFormat="1">
      <c r="A203" s="291" t="s">
        <v>194</v>
      </c>
      <c r="B203" s="82"/>
      <c r="C203" s="92"/>
      <c r="D203" s="316"/>
      <c r="E203" s="102">
        <f>$D194</f>
        <v>0</v>
      </c>
      <c r="F203" s="316"/>
      <c r="G203" s="315"/>
      <c r="H203" s="316"/>
      <c r="I203" s="102">
        <f>$D194</f>
        <v>0</v>
      </c>
      <c r="J203" s="316"/>
      <c r="K203" s="315"/>
      <c r="L203" s="315"/>
      <c r="M203" s="316"/>
      <c r="N203" s="102">
        <f>$D194</f>
        <v>0</v>
      </c>
      <c r="O203" s="315"/>
      <c r="P203" s="316"/>
      <c r="Q203" s="316"/>
      <c r="R203" s="315"/>
      <c r="S203" s="315"/>
      <c r="T203" s="315"/>
      <c r="U203" s="315"/>
      <c r="V203" s="170"/>
      <c r="W203" s="170"/>
      <c r="X203" s="177"/>
      <c r="Y203" s="33"/>
      <c r="Z203" s="33"/>
      <c r="AA203" s="33"/>
      <c r="AB203" s="33"/>
      <c r="AC203" s="33"/>
      <c r="AD203" s="33"/>
      <c r="AE203" s="33"/>
      <c r="AF203" s="33"/>
      <c r="AG203" s="33"/>
      <c r="AH203" s="33"/>
      <c r="AI203" s="33"/>
      <c r="AJ203" s="33"/>
      <c r="AK203" s="33"/>
      <c r="AL203" s="33"/>
      <c r="AM203" s="33"/>
      <c r="AN203" s="33"/>
      <c r="AO203" s="33"/>
      <c r="AP203" s="33"/>
      <c r="AQ203" s="33"/>
      <c r="AR203" s="33"/>
      <c r="AS203" s="33"/>
      <c r="AT203" s="33"/>
      <c r="AU203" s="33"/>
      <c r="AV203" s="33"/>
      <c r="AW203" s="33"/>
      <c r="AX203" s="33"/>
      <c r="AY203" s="33"/>
      <c r="AZ203" s="33"/>
      <c r="BA203" s="33"/>
      <c r="BB203" s="33"/>
      <c r="BC203" s="33"/>
    </row>
    <row r="204" spans="1:55" s="129" customFormat="1">
      <c r="A204" s="291" t="s">
        <v>180</v>
      </c>
      <c r="B204" s="82"/>
      <c r="C204" s="92"/>
      <c r="D204" s="316"/>
      <c r="E204" s="316"/>
      <c r="F204" s="102">
        <f>$D195</f>
        <v>0</v>
      </c>
      <c r="G204" s="315"/>
      <c r="H204" s="315"/>
      <c r="I204" s="315"/>
      <c r="J204" s="102">
        <f>$D195</f>
        <v>0</v>
      </c>
      <c r="K204" s="315"/>
      <c r="L204" s="315"/>
      <c r="M204" s="315"/>
      <c r="N204" s="316"/>
      <c r="O204" s="315"/>
      <c r="P204" s="102">
        <f>$D195</f>
        <v>0</v>
      </c>
      <c r="Q204" s="315"/>
      <c r="R204" s="315"/>
      <c r="S204" s="315"/>
      <c r="T204" s="315"/>
      <c r="U204" s="315"/>
      <c r="V204" s="170"/>
      <c r="W204" s="170"/>
      <c r="X204" s="177"/>
      <c r="Y204" s="33"/>
      <c r="Z204" s="33"/>
      <c r="AA204" s="33"/>
      <c r="AB204" s="33"/>
      <c r="AC204" s="33"/>
      <c r="AD204" s="33"/>
      <c r="AE204" s="33"/>
      <c r="AF204" s="33"/>
      <c r="AG204" s="33"/>
      <c r="AH204" s="33"/>
      <c r="AI204" s="33"/>
      <c r="AJ204" s="33"/>
      <c r="AK204" s="33"/>
      <c r="AL204" s="33"/>
      <c r="AM204" s="33"/>
      <c r="AN204" s="33"/>
      <c r="AO204" s="33"/>
      <c r="AP204" s="33"/>
      <c r="AQ204" s="33"/>
      <c r="AR204" s="33"/>
      <c r="AS204" s="33"/>
      <c r="AT204" s="33"/>
      <c r="AU204" s="33"/>
      <c r="AV204" s="33"/>
      <c r="AW204" s="33"/>
      <c r="AX204" s="33"/>
      <c r="AY204" s="33"/>
      <c r="AZ204" s="33"/>
      <c r="BA204" s="33"/>
      <c r="BB204" s="33"/>
      <c r="BC204" s="33"/>
    </row>
    <row r="205" spans="1:55" s="129" customFormat="1">
      <c r="A205" s="291" t="s">
        <v>181</v>
      </c>
      <c r="B205" s="82"/>
      <c r="C205" s="92"/>
      <c r="D205" s="316"/>
      <c r="E205" s="316"/>
      <c r="F205" s="315"/>
      <c r="G205" s="102">
        <f>$D196</f>
        <v>0</v>
      </c>
      <c r="H205" s="315"/>
      <c r="I205" s="315"/>
      <c r="J205" s="315"/>
      <c r="K205" s="102">
        <f>$D196</f>
        <v>0</v>
      </c>
      <c r="L205" s="315"/>
      <c r="M205" s="315"/>
      <c r="N205" s="316"/>
      <c r="O205" s="102">
        <f>$D196</f>
        <v>0</v>
      </c>
      <c r="P205" s="315"/>
      <c r="Q205" s="315"/>
      <c r="R205" s="102">
        <f>$D196</f>
        <v>0</v>
      </c>
      <c r="S205" s="315"/>
      <c r="T205" s="315"/>
      <c r="U205" s="315"/>
      <c r="V205" s="170"/>
      <c r="W205" s="170"/>
      <c r="X205" s="177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3"/>
      <c r="AV205" s="33"/>
      <c r="AW205" s="33"/>
      <c r="AX205" s="33"/>
      <c r="AY205" s="33"/>
      <c r="AZ205" s="33"/>
      <c r="BA205" s="33"/>
      <c r="BB205" s="33"/>
      <c r="BC205" s="33"/>
    </row>
    <row r="206" spans="1:55" s="129" customFormat="1">
      <c r="A206" s="291" t="s">
        <v>207</v>
      </c>
      <c r="B206" s="82"/>
      <c r="C206" s="92"/>
      <c r="D206" s="316"/>
      <c r="E206" s="316"/>
      <c r="F206" s="315"/>
      <c r="G206" s="315"/>
      <c r="H206" s="315"/>
      <c r="I206" s="315"/>
      <c r="J206" s="315"/>
      <c r="K206" s="315"/>
      <c r="L206" s="315"/>
      <c r="M206" s="315"/>
      <c r="N206" s="316"/>
      <c r="O206" s="315"/>
      <c r="P206" s="315"/>
      <c r="Q206" s="315"/>
      <c r="R206" s="315"/>
      <c r="S206" s="315"/>
      <c r="T206" s="102">
        <f>$D197</f>
        <v>0</v>
      </c>
      <c r="U206" s="315"/>
      <c r="V206" s="170"/>
      <c r="W206" s="170"/>
      <c r="X206" s="177"/>
      <c r="Y206" s="33"/>
      <c r="Z206" s="33"/>
      <c r="AA206" s="33"/>
      <c r="AB206" s="33"/>
      <c r="AC206" s="33"/>
      <c r="AD206" s="33"/>
      <c r="AE206" s="33"/>
      <c r="AF206" s="33"/>
      <c r="AG206" s="33"/>
      <c r="AH206" s="33"/>
      <c r="AI206" s="33"/>
      <c r="AJ206" s="33"/>
      <c r="AK206" s="33"/>
      <c r="AL206" s="33"/>
      <c r="AM206" s="33"/>
      <c r="AN206" s="33"/>
      <c r="AO206" s="33"/>
      <c r="AP206" s="33"/>
      <c r="AQ206" s="33"/>
      <c r="AR206" s="33"/>
      <c r="AS206" s="33"/>
      <c r="AT206" s="33"/>
      <c r="AU206" s="33"/>
      <c r="AV206" s="33"/>
      <c r="AW206" s="33"/>
      <c r="AX206" s="33"/>
      <c r="AY206" s="33"/>
      <c r="AZ206" s="33"/>
      <c r="BA206" s="33"/>
      <c r="BB206" s="33"/>
      <c r="BC206" s="33"/>
    </row>
    <row r="207" spans="1:55" s="129" customFormat="1">
      <c r="A207" s="291" t="s">
        <v>182</v>
      </c>
      <c r="B207" s="82"/>
      <c r="C207" s="92"/>
      <c r="D207" s="316"/>
      <c r="E207" s="316"/>
      <c r="F207" s="315"/>
      <c r="G207" s="315"/>
      <c r="H207" s="315"/>
      <c r="I207" s="315"/>
      <c r="J207" s="315"/>
      <c r="K207" s="315"/>
      <c r="L207" s="102">
        <f>$D198</f>
        <v>0</v>
      </c>
      <c r="M207" s="315"/>
      <c r="N207" s="316"/>
      <c r="O207" s="315"/>
      <c r="P207" s="315"/>
      <c r="Q207" s="315"/>
      <c r="R207" s="315"/>
      <c r="S207" s="315"/>
      <c r="T207" s="315"/>
      <c r="U207" s="102">
        <f>$D198</f>
        <v>0</v>
      </c>
      <c r="V207" s="170"/>
      <c r="W207" s="170"/>
      <c r="X207" s="177"/>
      <c r="Y207" s="33"/>
      <c r="Z207" s="33"/>
      <c r="AA207" s="33"/>
      <c r="AB207" s="33"/>
      <c r="AC207" s="33"/>
      <c r="AD207" s="33"/>
      <c r="AE207" s="33"/>
      <c r="AF207" s="33"/>
      <c r="AG207" s="33"/>
      <c r="AH207" s="33"/>
      <c r="AI207" s="33"/>
      <c r="AJ207" s="33"/>
      <c r="AK207" s="33"/>
      <c r="AL207" s="33"/>
      <c r="AM207" s="33"/>
      <c r="AN207" s="33"/>
      <c r="AO207" s="33"/>
      <c r="AP207" s="33"/>
      <c r="AQ207" s="33"/>
      <c r="AR207" s="33"/>
      <c r="AS207" s="33"/>
      <c r="AT207" s="33"/>
      <c r="AU207" s="33"/>
      <c r="AV207" s="33"/>
      <c r="AW207" s="33"/>
      <c r="AX207" s="33"/>
      <c r="AY207" s="33"/>
      <c r="AZ207" s="33"/>
      <c r="BA207" s="33"/>
      <c r="BB207" s="33"/>
      <c r="BC207" s="33"/>
    </row>
    <row r="208" spans="1:55" s="129" customFormat="1" ht="12.75" thickBot="1">
      <c r="A208" s="327" t="s">
        <v>183</v>
      </c>
      <c r="B208" s="82"/>
      <c r="C208" s="92"/>
      <c r="D208" s="386"/>
      <c r="E208" s="386"/>
      <c r="F208" s="387"/>
      <c r="G208" s="387"/>
      <c r="H208" s="387"/>
      <c r="I208" s="387"/>
      <c r="J208" s="387"/>
      <c r="K208" s="387"/>
      <c r="L208" s="387"/>
      <c r="M208" s="387"/>
      <c r="N208" s="386"/>
      <c r="O208" s="387"/>
      <c r="P208" s="387"/>
      <c r="Q208" s="387"/>
      <c r="R208" s="387"/>
      <c r="S208" s="388">
        <f>$D199</f>
        <v>0</v>
      </c>
      <c r="T208" s="387"/>
      <c r="U208" s="387"/>
      <c r="V208" s="170"/>
      <c r="W208" s="170"/>
      <c r="X208" s="177"/>
      <c r="Y208" s="33"/>
      <c r="Z208" s="33"/>
      <c r="AA208" s="33"/>
      <c r="AB208" s="33"/>
      <c r="AC208" s="33"/>
      <c r="AD208" s="33"/>
      <c r="AE208" s="33"/>
      <c r="AF208" s="33"/>
      <c r="AG208" s="33"/>
      <c r="AH208" s="33"/>
      <c r="AI208" s="33"/>
      <c r="AJ208" s="33"/>
      <c r="AK208" s="33"/>
      <c r="AL208" s="33"/>
      <c r="AM208" s="33"/>
      <c r="AN208" s="33"/>
      <c r="AO208" s="33"/>
      <c r="AP208" s="33"/>
      <c r="AQ208" s="33"/>
      <c r="AR208" s="33"/>
      <c r="AS208" s="33"/>
      <c r="AT208" s="33"/>
      <c r="AU208" s="33"/>
      <c r="AV208" s="33"/>
      <c r="AW208" s="33"/>
      <c r="AX208" s="33"/>
      <c r="AY208" s="33"/>
      <c r="AZ208" s="33"/>
      <c r="BA208" s="33"/>
      <c r="BB208" s="33"/>
      <c r="BC208" s="33"/>
    </row>
    <row r="209" spans="1:55" s="129" customFormat="1">
      <c r="A209" s="326" t="s">
        <v>196</v>
      </c>
      <c r="B209" s="82"/>
      <c r="C209" s="92"/>
      <c r="D209" s="389">
        <f t="array" aca="1" ref="D209" ca="1">IFERROR(SUM($D$113:$U$113*$D$124:$U$124*$D186:$U186/$D$254:$U$254)/$C186*D186/D186,0)</f>
        <v>842.79928409090905</v>
      </c>
      <c r="E209" s="390"/>
      <c r="F209" s="390"/>
      <c r="G209" s="390"/>
      <c r="H209" s="389">
        <f t="array" aca="1" ref="H209" ca="1">IFERROR(SUM($D$113:$U$113*$D$124:$U$124*$D186:$U186/$D$254:$U$254)/$C186*H186/H186,0)</f>
        <v>842.79928409090894</v>
      </c>
      <c r="I209" s="390"/>
      <c r="J209" s="390"/>
      <c r="K209" s="390"/>
      <c r="L209" s="390"/>
      <c r="M209" s="389">
        <f t="array" aca="1" ref="M209" ca="1">IFERROR(SUM($D$113:$U$113*$D$124:$U$124*$D186:$U186/$D$254:$U$254)/$C186*M186/M186,0)</f>
        <v>842.79928409090894</v>
      </c>
      <c r="N209" s="390"/>
      <c r="O209" s="390"/>
      <c r="P209" s="390"/>
      <c r="Q209" s="389">
        <f t="array" aca="1" ref="Q209" ca="1">IFERROR(SUM($D$113:$U$113*$D$124:$U$124*$D186:$U186/$D$254:$U$254)/$C186*Q186/Q186,0)</f>
        <v>842.79928409090905</v>
      </c>
      <c r="R209" s="390"/>
      <c r="S209" s="390"/>
      <c r="T209" s="390"/>
      <c r="U209" s="390"/>
      <c r="V209" s="170"/>
      <c r="W209" s="170"/>
      <c r="X209" s="177"/>
      <c r="Y209" s="33"/>
      <c r="Z209" s="33"/>
      <c r="AA209" s="33"/>
      <c r="AB209" s="33"/>
      <c r="AC209" s="33"/>
      <c r="AD209" s="33"/>
      <c r="AE209" s="33"/>
      <c r="AF209" s="33"/>
      <c r="AG209" s="33"/>
      <c r="AH209" s="33"/>
      <c r="AI209" s="33"/>
      <c r="AJ209" s="33"/>
      <c r="AK209" s="33"/>
      <c r="AL209" s="33"/>
      <c r="AM209" s="33"/>
      <c r="AN209" s="33"/>
      <c r="AO209" s="33"/>
      <c r="AP209" s="33"/>
      <c r="AQ209" s="33"/>
      <c r="AR209" s="33"/>
      <c r="AS209" s="33"/>
      <c r="AT209" s="33"/>
      <c r="AU209" s="33"/>
      <c r="AV209" s="33"/>
      <c r="AW209" s="33"/>
      <c r="AX209" s="33"/>
      <c r="AY209" s="33"/>
      <c r="AZ209" s="33"/>
      <c r="BA209" s="33"/>
      <c r="BB209" s="33"/>
      <c r="BC209" s="33"/>
    </row>
    <row r="210" spans="1:55" s="129" customFormat="1">
      <c r="A210" s="291" t="s">
        <v>197</v>
      </c>
      <c r="B210" s="82"/>
      <c r="C210" s="92"/>
      <c r="D210" s="316"/>
      <c r="E210" s="102">
        <f t="array" aca="1" ref="E210" ca="1">IFERROR(SUM($D$113:$U$113*$D$124:$U$124*$D187:$U187/$D$254:$U$254)/$C187*E187/E187,0)</f>
        <v>895.16799999999989</v>
      </c>
      <c r="F210" s="316"/>
      <c r="G210" s="315"/>
      <c r="H210" s="315"/>
      <c r="I210" s="102">
        <f t="array" aca="1" ref="I210" ca="1">IFERROR(SUM($D$113:$U$113*$D$124:$U$124*$D187:$U187/$D$254:$U$254)/$C187*I187/I187,0)</f>
        <v>895.16799999999989</v>
      </c>
      <c r="J210" s="316"/>
      <c r="K210" s="315"/>
      <c r="L210" s="315"/>
      <c r="M210" s="316"/>
      <c r="N210" s="102">
        <f t="array" aca="1" ref="N210" ca="1">IFERROR(SUM($D$113:$U$113*$D$124:$U$124*$D187:$U187/$D$254:$U$254)/$C187*N187/N187,0)</f>
        <v>895.16799999999989</v>
      </c>
      <c r="O210" s="315"/>
      <c r="P210" s="316"/>
      <c r="Q210" s="316"/>
      <c r="R210" s="315"/>
      <c r="S210" s="315"/>
      <c r="T210" s="315"/>
      <c r="U210" s="315"/>
      <c r="V210" s="170"/>
      <c r="W210" s="170"/>
      <c r="X210" s="177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33"/>
      <c r="AV210" s="33"/>
      <c r="AW210" s="33"/>
      <c r="AX210" s="33"/>
      <c r="AY210" s="33"/>
      <c r="AZ210" s="33"/>
      <c r="BA210" s="33"/>
      <c r="BB210" s="33"/>
      <c r="BC210" s="33"/>
    </row>
    <row r="211" spans="1:55" s="129" customFormat="1">
      <c r="A211" s="291" t="s">
        <v>167</v>
      </c>
      <c r="B211" s="82"/>
      <c r="C211" s="92"/>
      <c r="D211" s="316"/>
      <c r="E211" s="316"/>
      <c r="F211" s="102">
        <f t="array" aca="1" ref="F211" ca="1">IFERROR(SUM($D$113:$U$113*$D$124:$U$124*$D188:$U188/$D$254:$U$254)/$C188*F188/F188,0)</f>
        <v>902.51301587301589</v>
      </c>
      <c r="G211" s="315"/>
      <c r="H211" s="315"/>
      <c r="I211" s="315"/>
      <c r="J211" s="102">
        <f t="array" aca="1" ref="J211" ca="1">IFERROR(SUM($D$113:$U$113*$D$124:$U$124*$D188:$U188/$D$254:$U$254)/$C188*J188/J188,0)</f>
        <v>902.51301587301589</v>
      </c>
      <c r="K211" s="315"/>
      <c r="L211" s="315"/>
      <c r="M211" s="315"/>
      <c r="N211" s="316"/>
      <c r="O211" s="315"/>
      <c r="P211" s="102">
        <f t="array" aca="1" ref="P211" ca="1">IFERROR(SUM($D$113:$U$113*$D$124:$U$124*$D188:$U188/$D$254:$U$254)/$C188*P188/P188,0)</f>
        <v>902.513015873016</v>
      </c>
      <c r="Q211" s="315"/>
      <c r="R211" s="315"/>
      <c r="S211" s="315"/>
      <c r="T211" s="315"/>
      <c r="U211" s="315"/>
      <c r="V211" s="170"/>
      <c r="W211" s="170"/>
      <c r="X211" s="177"/>
      <c r="Y211" s="33"/>
      <c r="Z211" s="33"/>
      <c r="AA211" s="33"/>
      <c r="AB211" s="33"/>
      <c r="AC211" s="33"/>
      <c r="AD211" s="33"/>
      <c r="AE211" s="33"/>
      <c r="AF211" s="33"/>
      <c r="AG211" s="33"/>
      <c r="AH211" s="33"/>
      <c r="AI211" s="33"/>
      <c r="AJ211" s="33"/>
      <c r="AK211" s="33"/>
      <c r="AL211" s="33"/>
      <c r="AM211" s="33"/>
      <c r="AN211" s="33"/>
      <c r="AO211" s="33"/>
      <c r="AP211" s="33"/>
      <c r="AQ211" s="33"/>
      <c r="AR211" s="33"/>
      <c r="AS211" s="33"/>
      <c r="AT211" s="33"/>
      <c r="AU211" s="33"/>
      <c r="AV211" s="33"/>
      <c r="AW211" s="33"/>
      <c r="AX211" s="33"/>
      <c r="AY211" s="33"/>
      <c r="AZ211" s="33"/>
      <c r="BA211" s="33"/>
      <c r="BB211" s="33"/>
      <c r="BC211" s="33"/>
    </row>
    <row r="212" spans="1:55" s="129" customFormat="1">
      <c r="A212" s="291" t="s">
        <v>168</v>
      </c>
      <c r="B212" s="82"/>
      <c r="C212" s="92"/>
      <c r="D212" s="316"/>
      <c r="E212" s="316"/>
      <c r="F212" s="315"/>
      <c r="G212" s="102">
        <f t="array" aca="1" ref="G212" ca="1">IFERROR(SUM($D$113:$U$113*$D$124:$U$124*$D189:$U189/$D$254:$U$254)/$C189*G189/G189,0)</f>
        <v>891.15066666666655</v>
      </c>
      <c r="H212" s="315"/>
      <c r="I212" s="315"/>
      <c r="J212" s="315"/>
      <c r="K212" s="102">
        <f t="array" aca="1" ref="K212" ca="1">IFERROR(SUM($D$113:$U$113*$D$124:$U$124*$D189:$U189/$D$254:$U$254)/$C189*K189/K189,0)</f>
        <v>891.15066666666655</v>
      </c>
      <c r="L212" s="315"/>
      <c r="M212" s="315"/>
      <c r="N212" s="316"/>
      <c r="O212" s="102">
        <f t="array" aca="1" ref="O212" ca="1">IFERROR(SUM($D$113:$U$113*$D$124:$U$124*$D189:$U189/$D$254:$U$254)/$C189*O189/O189,0)</f>
        <v>891.15066666666655</v>
      </c>
      <c r="P212" s="315"/>
      <c r="Q212" s="315"/>
      <c r="R212" s="102">
        <f t="array" aca="1" ref="R212" ca="1">IFERROR(SUM($D$113:$U$113*$D$124:$U$124*$D189:$U189/$D$254:$U$254)/$C189*R189/R189,0)</f>
        <v>891.15066666666655</v>
      </c>
      <c r="S212" s="315"/>
      <c r="T212" s="315"/>
      <c r="U212" s="315"/>
      <c r="V212" s="170"/>
      <c r="W212" s="170"/>
      <c r="X212" s="177"/>
      <c r="Y212" s="33"/>
      <c r="Z212" s="33"/>
      <c r="AA212" s="33"/>
      <c r="AB212" s="33"/>
      <c r="AC212" s="33"/>
      <c r="AD212" s="33"/>
      <c r="AE212" s="33"/>
      <c r="AF212" s="33"/>
      <c r="AG212" s="33"/>
      <c r="AH212" s="33"/>
      <c r="AI212" s="33"/>
      <c r="AJ212" s="33"/>
      <c r="AK212" s="33"/>
      <c r="AL212" s="33"/>
      <c r="AM212" s="33"/>
      <c r="AN212" s="33"/>
      <c r="AO212" s="33"/>
      <c r="AP212" s="33"/>
      <c r="AQ212" s="33"/>
      <c r="AR212" s="33"/>
      <c r="AS212" s="33"/>
      <c r="AT212" s="33"/>
      <c r="AU212" s="33"/>
      <c r="AV212" s="33"/>
      <c r="AW212" s="33"/>
      <c r="AX212" s="33"/>
      <c r="AY212" s="33"/>
      <c r="AZ212" s="33"/>
      <c r="BA212" s="33"/>
      <c r="BB212" s="33"/>
      <c r="BC212" s="33"/>
    </row>
    <row r="213" spans="1:55" s="129" customFormat="1">
      <c r="A213" s="291" t="s">
        <v>208</v>
      </c>
      <c r="B213" s="82"/>
      <c r="C213" s="92"/>
      <c r="D213" s="316"/>
      <c r="E213" s="316"/>
      <c r="F213" s="315"/>
      <c r="G213" s="315"/>
      <c r="H213" s="315"/>
      <c r="I213" s="315"/>
      <c r="J213" s="315"/>
      <c r="K213" s="315"/>
      <c r="L213" s="315"/>
      <c r="M213" s="315"/>
      <c r="N213" s="316"/>
      <c r="O213" s="315"/>
      <c r="P213" s="315"/>
      <c r="Q213" s="315"/>
      <c r="R213" s="315"/>
      <c r="S213" s="315"/>
      <c r="T213" s="102">
        <f t="array" aca="1" ref="T213" ca="1">IFERROR(SUM($D$113:$U$113*$D$124:$U$124*$D190:$U190/$D$254:$U$254)/$C190*T190/T190,0)</f>
        <v>822.6389999999999</v>
      </c>
      <c r="U213" s="315"/>
      <c r="V213" s="170"/>
      <c r="W213" s="170"/>
      <c r="X213" s="177"/>
      <c r="Y213" s="33"/>
      <c r="Z213" s="33"/>
      <c r="AA213" s="33"/>
      <c r="AB213" s="33"/>
      <c r="AC213" s="33"/>
      <c r="AD213" s="33"/>
      <c r="AE213" s="33"/>
      <c r="AF213" s="33"/>
      <c r="AG213" s="33"/>
      <c r="AH213" s="33"/>
      <c r="AI213" s="33"/>
      <c r="AJ213" s="33"/>
      <c r="AK213" s="33"/>
      <c r="AL213" s="33"/>
      <c r="AM213" s="33"/>
      <c r="AN213" s="33"/>
      <c r="AO213" s="33"/>
      <c r="AP213" s="33"/>
      <c r="AQ213" s="33"/>
      <c r="AR213" s="33"/>
      <c r="AS213" s="33"/>
      <c r="AT213" s="33"/>
      <c r="AU213" s="33"/>
      <c r="AV213" s="33"/>
      <c r="AW213" s="33"/>
      <c r="AX213" s="33"/>
      <c r="AY213" s="33"/>
      <c r="AZ213" s="33"/>
      <c r="BA213" s="33"/>
      <c r="BB213" s="33"/>
      <c r="BC213" s="33"/>
    </row>
    <row r="214" spans="1:55" s="129" customFormat="1">
      <c r="A214" s="291" t="s">
        <v>169</v>
      </c>
      <c r="B214" s="82"/>
      <c r="C214" s="92"/>
      <c r="D214" s="316"/>
      <c r="E214" s="316"/>
      <c r="F214" s="315"/>
      <c r="G214" s="315"/>
      <c r="H214" s="315"/>
      <c r="I214" s="315"/>
      <c r="J214" s="315"/>
      <c r="K214" s="315"/>
      <c r="L214" s="102">
        <f t="array" aca="1" ref="L214" ca="1">IFERROR(SUM($D$113:$U$113*$D$124:$U$124*$D191:$U191/$D$254:$U$254)/$C191*L191/L191,0)</f>
        <v>856.48142156862741</v>
      </c>
      <c r="M214" s="315"/>
      <c r="N214" s="316"/>
      <c r="O214" s="315"/>
      <c r="P214" s="315"/>
      <c r="Q214" s="315"/>
      <c r="R214" s="315"/>
      <c r="S214" s="315"/>
      <c r="T214" s="315"/>
      <c r="U214" s="102">
        <f t="array" aca="1" ref="U214" ca="1">IFERROR(SUM($D$113:$U$113*$D$124:$U$124*$D191:$U191/$D$254:$U$254)/$C191*U191/U191,0)</f>
        <v>856.48142156862741</v>
      </c>
      <c r="V214" s="170"/>
      <c r="W214" s="170"/>
      <c r="X214" s="177"/>
      <c r="Y214" s="33"/>
      <c r="Z214" s="33"/>
      <c r="AA214" s="33"/>
      <c r="AB214" s="33"/>
      <c r="AC214" s="33"/>
      <c r="AD214" s="33"/>
      <c r="AE214" s="33"/>
      <c r="AF214" s="33"/>
      <c r="AG214" s="33"/>
      <c r="AH214" s="33"/>
      <c r="AI214" s="33"/>
      <c r="AJ214" s="33"/>
      <c r="AK214" s="33"/>
      <c r="AL214" s="33"/>
      <c r="AM214" s="33"/>
      <c r="AN214" s="33"/>
      <c r="AO214" s="33"/>
      <c r="AP214" s="33"/>
      <c r="AQ214" s="33"/>
      <c r="AR214" s="33"/>
      <c r="AS214" s="33"/>
      <c r="AT214" s="33"/>
      <c r="AU214" s="33"/>
      <c r="AV214" s="33"/>
      <c r="AW214" s="33"/>
      <c r="AX214" s="33"/>
      <c r="AY214" s="33"/>
      <c r="AZ214" s="33"/>
      <c r="BA214" s="33"/>
      <c r="BB214" s="33"/>
      <c r="BC214" s="33"/>
    </row>
    <row r="215" spans="1:55" s="129" customFormat="1" ht="12.75" thickBot="1">
      <c r="A215" s="327" t="s">
        <v>170</v>
      </c>
      <c r="B215" s="82"/>
      <c r="C215" s="92"/>
      <c r="D215" s="386"/>
      <c r="E215" s="386"/>
      <c r="F215" s="387"/>
      <c r="G215" s="387"/>
      <c r="H215" s="387"/>
      <c r="I215" s="387"/>
      <c r="J215" s="387"/>
      <c r="K215" s="387"/>
      <c r="L215" s="387"/>
      <c r="M215" s="387"/>
      <c r="N215" s="386"/>
      <c r="O215" s="387"/>
      <c r="P215" s="387"/>
      <c r="Q215" s="387"/>
      <c r="R215" s="387"/>
      <c r="S215" s="388">
        <f t="array" aca="1" ref="S215" ca="1">IFERROR(SUM($D$113:$U$113*$D$124:$U$124*$D192:$U192/$D$254:$U$254)/$C192*S192/S192,0)</f>
        <v>822.6389999999999</v>
      </c>
      <c r="T215" s="387"/>
      <c r="U215" s="387"/>
      <c r="V215" s="170"/>
      <c r="W215" s="170"/>
      <c r="X215" s="177"/>
      <c r="Y215" s="33"/>
      <c r="Z215" s="33"/>
      <c r="AA215" s="33"/>
      <c r="AB215" s="33"/>
      <c r="AC215" s="33"/>
      <c r="AD215" s="33"/>
      <c r="AE215" s="33"/>
      <c r="AF215" s="33"/>
      <c r="AG215" s="33"/>
      <c r="AH215" s="33"/>
      <c r="AI215" s="33"/>
      <c r="AJ215" s="33"/>
      <c r="AK215" s="33"/>
      <c r="AL215" s="33"/>
      <c r="AM215" s="33"/>
      <c r="AN215" s="33"/>
      <c r="AO215" s="33"/>
      <c r="AP215" s="33"/>
      <c r="AQ215" s="33"/>
      <c r="AR215" s="33"/>
      <c r="AS215" s="33"/>
      <c r="AT215" s="33"/>
      <c r="AU215" s="33"/>
      <c r="AV215" s="33"/>
      <c r="AW215" s="33"/>
      <c r="AX215" s="33"/>
      <c r="AY215" s="33"/>
      <c r="AZ215" s="33"/>
      <c r="BA215" s="33"/>
      <c r="BB215" s="33"/>
      <c r="BC215" s="33"/>
    </row>
    <row r="216" spans="1:55" s="129" customFormat="1">
      <c r="A216" s="326" t="s">
        <v>198</v>
      </c>
      <c r="B216" s="82"/>
      <c r="C216" s="92"/>
      <c r="D216" s="389">
        <f t="array" aca="1" ref="D216" ca="1">IFERROR(SUM($D$114:$U$114*$D$124:$U$124*$D186:$U186/$D$254:$U$254)/$C186*D186/D186,0)</f>
        <v>842.79928409090905</v>
      </c>
      <c r="E216" s="390"/>
      <c r="F216" s="390"/>
      <c r="G216" s="390"/>
      <c r="H216" s="389">
        <f t="array" aca="1" ref="H216" ca="1">IFERROR(SUM($D$114:$U$114*$D$124:$U$124*$D186:$U186/$D$254:$U$254)/$C186*H186/H186,0)</f>
        <v>842.79928409090894</v>
      </c>
      <c r="I216" s="390"/>
      <c r="J216" s="390"/>
      <c r="K216" s="390"/>
      <c r="L216" s="390"/>
      <c r="M216" s="389">
        <f t="array" aca="1" ref="M216" ca="1">IFERROR(SUM($D$114:$U$114*$D$124:$U$124*$D186:$U186/$D$254:$U$254)/$C186*M186/M186,0)</f>
        <v>842.79928409090894</v>
      </c>
      <c r="N216" s="390"/>
      <c r="O216" s="390"/>
      <c r="P216" s="390"/>
      <c r="Q216" s="389">
        <f t="array" aca="1" ref="Q216" ca="1">IFERROR(SUM($D$114:$U$114*$D$124:$U$124*$D186:$U186/$D$254:$U$254)/$C186*Q186/Q186,0)</f>
        <v>842.79928409090905</v>
      </c>
      <c r="R216" s="390"/>
      <c r="S216" s="390"/>
      <c r="T216" s="390"/>
      <c r="U216" s="390"/>
      <c r="V216" s="170"/>
      <c r="W216" s="170"/>
      <c r="X216" s="177"/>
      <c r="Y216" s="33"/>
      <c r="Z216" s="33"/>
      <c r="AA216" s="33"/>
      <c r="AB216" s="33"/>
      <c r="AC216" s="33"/>
      <c r="AD216" s="33"/>
      <c r="AE216" s="33"/>
      <c r="AF216" s="33"/>
      <c r="AG216" s="33"/>
      <c r="AH216" s="33"/>
      <c r="AI216" s="33"/>
      <c r="AJ216" s="33"/>
      <c r="AK216" s="33"/>
      <c r="AL216" s="33"/>
      <c r="AM216" s="33"/>
      <c r="AN216" s="33"/>
      <c r="AO216" s="33"/>
      <c r="AP216" s="33"/>
      <c r="AQ216" s="33"/>
      <c r="AR216" s="33"/>
      <c r="AS216" s="33"/>
      <c r="AT216" s="33"/>
      <c r="AU216" s="33"/>
      <c r="AV216" s="33"/>
      <c r="AW216" s="33"/>
      <c r="AX216" s="33"/>
      <c r="AY216" s="33"/>
      <c r="AZ216" s="33"/>
      <c r="BA216" s="33"/>
      <c r="BB216" s="33"/>
      <c r="BC216" s="33"/>
    </row>
    <row r="217" spans="1:55" s="129" customFormat="1">
      <c r="A217" s="291" t="s">
        <v>199</v>
      </c>
      <c r="B217" s="82"/>
      <c r="C217" s="92"/>
      <c r="D217" s="316"/>
      <c r="E217" s="102">
        <f t="array" aca="1" ref="E217" ca="1">IFERROR(SUM($D$114:$U$114*$D$124:$U$124*$D187:$U187/$D$254:$U$254)/$C187*E187/E187,0)</f>
        <v>895.16799999999989</v>
      </c>
      <c r="F217" s="316"/>
      <c r="G217" s="315"/>
      <c r="H217" s="315"/>
      <c r="I217" s="102">
        <f t="array" aca="1" ref="I217" ca="1">IFERROR(SUM($D$114:$U$114*$D$124:$U$124*$D187:$U187/$D$254:$U$254)/$C187*I187/I187,0)</f>
        <v>895.16799999999989</v>
      </c>
      <c r="J217" s="316"/>
      <c r="K217" s="315"/>
      <c r="L217" s="315"/>
      <c r="M217" s="316"/>
      <c r="N217" s="102">
        <f t="array" aca="1" ref="N217" ca="1">IFERROR(SUM($D$114:$U$114*$D$124:$U$124*$D187:$U187/$D$254:$U$254)/$C187*N187/N187,0)</f>
        <v>895.16799999999989</v>
      </c>
      <c r="O217" s="315"/>
      <c r="P217" s="316"/>
      <c r="Q217" s="316"/>
      <c r="R217" s="315"/>
      <c r="S217" s="315"/>
      <c r="T217" s="315"/>
      <c r="U217" s="315"/>
      <c r="V217" s="170"/>
      <c r="W217" s="170"/>
      <c r="X217" s="177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3"/>
      <c r="AV217" s="33"/>
      <c r="AW217" s="33"/>
      <c r="AX217" s="33"/>
      <c r="AY217" s="33"/>
      <c r="AZ217" s="33"/>
      <c r="BA217" s="33"/>
      <c r="BB217" s="33"/>
      <c r="BC217" s="33"/>
    </row>
    <row r="218" spans="1:55" s="129" customFormat="1">
      <c r="A218" s="291" t="s">
        <v>171</v>
      </c>
      <c r="B218" s="82"/>
      <c r="C218" s="92"/>
      <c r="D218" s="316"/>
      <c r="E218" s="316"/>
      <c r="F218" s="102">
        <f t="array" aca="1" ref="F218" ca="1">IFERROR(SUM($D$114:$U$114*$D$124:$U$124*$D188:$U188/$D$254:$U$254)/$C188*F188/F188,0)</f>
        <v>902.51301587301589</v>
      </c>
      <c r="G218" s="315"/>
      <c r="H218" s="315"/>
      <c r="I218" s="315"/>
      <c r="J218" s="102">
        <f t="array" aca="1" ref="J218" ca="1">IFERROR(SUM($D$114:$U$114*$D$124:$U$124*$D188:$U188/$D$254:$U$254)/$C188*J188/J188,0)</f>
        <v>902.51301587301589</v>
      </c>
      <c r="K218" s="315"/>
      <c r="L218" s="315"/>
      <c r="M218" s="315"/>
      <c r="N218" s="316"/>
      <c r="O218" s="315"/>
      <c r="P218" s="102">
        <f t="array" aca="1" ref="P218" ca="1">IFERROR(SUM($D$114:$U$114*$D$124:$U$124*$D188:$U188/$D$254:$U$254)/$C188*P188/P188,0)</f>
        <v>902.513015873016</v>
      </c>
      <c r="Q218" s="315"/>
      <c r="R218" s="315"/>
      <c r="S218" s="315"/>
      <c r="T218" s="315"/>
      <c r="U218" s="315"/>
      <c r="V218" s="170"/>
      <c r="W218" s="170"/>
      <c r="X218" s="177"/>
      <c r="Y218" s="33"/>
      <c r="Z218" s="33"/>
      <c r="AA218" s="33"/>
      <c r="AB218" s="33"/>
      <c r="AC218" s="33"/>
      <c r="AD218" s="33"/>
      <c r="AE218" s="33"/>
      <c r="AF218" s="33"/>
      <c r="AG218" s="33"/>
      <c r="AH218" s="33"/>
      <c r="AI218" s="33"/>
      <c r="AJ218" s="33"/>
      <c r="AK218" s="33"/>
      <c r="AL218" s="33"/>
      <c r="AM218" s="33"/>
      <c r="AN218" s="33"/>
      <c r="AO218" s="33"/>
      <c r="AP218" s="33"/>
      <c r="AQ218" s="33"/>
      <c r="AR218" s="33"/>
      <c r="AS218" s="33"/>
      <c r="AT218" s="33"/>
      <c r="AU218" s="33"/>
      <c r="AV218" s="33"/>
      <c r="AW218" s="33"/>
      <c r="AX218" s="33"/>
      <c r="AY218" s="33"/>
      <c r="AZ218" s="33"/>
      <c r="BA218" s="33"/>
      <c r="BB218" s="33"/>
      <c r="BC218" s="33"/>
    </row>
    <row r="219" spans="1:55" s="129" customFormat="1">
      <c r="A219" s="291" t="s">
        <v>172</v>
      </c>
      <c r="B219" s="82"/>
      <c r="C219" s="92"/>
      <c r="D219" s="316"/>
      <c r="E219" s="316"/>
      <c r="F219" s="315"/>
      <c r="G219" s="102">
        <f t="array" aca="1" ref="G219" ca="1">IFERROR(SUM($D$114:$U$114*$D$124:$U$124*$D189:$U189/$D$254:$U$254)/$C189*G189/G189,0)</f>
        <v>891.15066666666655</v>
      </c>
      <c r="H219" s="315"/>
      <c r="I219" s="315"/>
      <c r="J219" s="315"/>
      <c r="K219" s="102">
        <f t="array" aca="1" ref="K219" ca="1">IFERROR(SUM($D$114:$U$114*$D$124:$U$124*$D189:$U189/$D$254:$U$254)/$C189*K189/K189,0)</f>
        <v>891.15066666666655</v>
      </c>
      <c r="L219" s="315"/>
      <c r="M219" s="315"/>
      <c r="N219" s="316"/>
      <c r="O219" s="102">
        <f t="array" aca="1" ref="O219" ca="1">IFERROR(SUM($D$114:$U$114*$D$124:$U$124*$D189:$U189/$D$254:$U$254)/$C189*O189/O189,0)</f>
        <v>891.15066666666655</v>
      </c>
      <c r="P219" s="315"/>
      <c r="Q219" s="315"/>
      <c r="R219" s="102">
        <f t="array" aca="1" ref="R219" ca="1">IFERROR(SUM($D$114:$U$114*$D$124:$U$124*$D189:$U189/$D$254:$U$254)/$C189*R189/R189,0)</f>
        <v>891.15066666666655</v>
      </c>
      <c r="S219" s="315"/>
      <c r="T219" s="315"/>
      <c r="U219" s="315"/>
      <c r="V219" s="170"/>
      <c r="W219" s="170"/>
      <c r="X219" s="177"/>
      <c r="Y219" s="33"/>
      <c r="Z219" s="33"/>
      <c r="AA219" s="33"/>
      <c r="AB219" s="33"/>
      <c r="AC219" s="33"/>
      <c r="AD219" s="33"/>
      <c r="AE219" s="33"/>
      <c r="AF219" s="33"/>
      <c r="AG219" s="33"/>
      <c r="AH219" s="33"/>
      <c r="AI219" s="33"/>
      <c r="AJ219" s="33"/>
      <c r="AK219" s="33"/>
      <c r="AL219" s="33"/>
      <c r="AM219" s="33"/>
      <c r="AN219" s="33"/>
      <c r="AO219" s="33"/>
      <c r="AP219" s="33"/>
      <c r="AQ219" s="33"/>
      <c r="AR219" s="33"/>
      <c r="AS219" s="33"/>
      <c r="AT219" s="33"/>
      <c r="AU219" s="33"/>
      <c r="AV219" s="33"/>
      <c r="AW219" s="33"/>
      <c r="AX219" s="33"/>
      <c r="AY219" s="33"/>
      <c r="AZ219" s="33"/>
      <c r="BA219" s="33"/>
      <c r="BB219" s="33"/>
      <c r="BC219" s="33"/>
    </row>
    <row r="220" spans="1:55" s="129" customFormat="1">
      <c r="A220" s="291" t="s">
        <v>209</v>
      </c>
      <c r="B220" s="82"/>
      <c r="C220" s="92"/>
      <c r="D220" s="316"/>
      <c r="E220" s="316"/>
      <c r="F220" s="315"/>
      <c r="G220" s="315"/>
      <c r="H220" s="315"/>
      <c r="I220" s="315"/>
      <c r="J220" s="315"/>
      <c r="K220" s="315"/>
      <c r="L220" s="315"/>
      <c r="M220" s="315"/>
      <c r="N220" s="316"/>
      <c r="O220" s="315"/>
      <c r="P220" s="315"/>
      <c r="Q220" s="315"/>
      <c r="R220" s="315"/>
      <c r="S220" s="315"/>
      <c r="T220" s="102">
        <f t="array" aca="1" ref="T220" ca="1">IFERROR(SUM($D$114:$U$114*$D$124:$U$124*$D190:$U190/$D$254:$U$254)/$C190*T190/T190,0)</f>
        <v>822.6389999999999</v>
      </c>
      <c r="U220" s="315"/>
      <c r="V220" s="170"/>
      <c r="W220" s="170"/>
      <c r="X220" s="177"/>
      <c r="Y220" s="33"/>
      <c r="Z220" s="33"/>
      <c r="AA220" s="33"/>
      <c r="AB220" s="33"/>
      <c r="AC220" s="33"/>
      <c r="AD220" s="33"/>
      <c r="AE220" s="33"/>
      <c r="AF220" s="33"/>
      <c r="AG220" s="33"/>
      <c r="AH220" s="33"/>
      <c r="AI220" s="33"/>
      <c r="AJ220" s="33"/>
      <c r="AK220" s="33"/>
      <c r="AL220" s="33"/>
      <c r="AM220" s="33"/>
      <c r="AN220" s="33"/>
      <c r="AO220" s="33"/>
      <c r="AP220" s="33"/>
      <c r="AQ220" s="33"/>
      <c r="AR220" s="33"/>
      <c r="AS220" s="33"/>
      <c r="AT220" s="33"/>
      <c r="AU220" s="33"/>
      <c r="AV220" s="33"/>
      <c r="AW220" s="33"/>
      <c r="AX220" s="33"/>
      <c r="AY220" s="33"/>
      <c r="AZ220" s="33"/>
      <c r="BA220" s="33"/>
      <c r="BB220" s="33"/>
      <c r="BC220" s="33"/>
    </row>
    <row r="221" spans="1:55" s="129" customFormat="1">
      <c r="A221" s="291" t="s">
        <v>173</v>
      </c>
      <c r="B221" s="82"/>
      <c r="C221" s="92"/>
      <c r="D221" s="316"/>
      <c r="E221" s="316"/>
      <c r="F221" s="315"/>
      <c r="G221" s="315"/>
      <c r="H221" s="315"/>
      <c r="I221" s="315"/>
      <c r="J221" s="315"/>
      <c r="K221" s="315"/>
      <c r="L221" s="102">
        <f t="array" aca="1" ref="L221" ca="1">IFERROR(SUM($D$114:$U$114*$D$124:$U$124*$D191:$U191/$D$254:$U$254)/$C191*L191/L191,0)</f>
        <v>856.48142156862741</v>
      </c>
      <c r="M221" s="315"/>
      <c r="N221" s="316"/>
      <c r="O221" s="315"/>
      <c r="P221" s="315"/>
      <c r="Q221" s="315"/>
      <c r="R221" s="315"/>
      <c r="S221" s="315"/>
      <c r="T221" s="315"/>
      <c r="U221" s="102">
        <f t="array" aca="1" ref="U221" ca="1">IFERROR(SUM($D$114:$U$114*$D$124:$U$124*$D191:$U191/$D$254:$U$254)/$C191*U191/U191,0)</f>
        <v>856.48142156862741</v>
      </c>
      <c r="V221" s="170"/>
      <c r="W221" s="170"/>
      <c r="X221" s="177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</row>
    <row r="222" spans="1:55" s="129" customFormat="1" ht="12.75" thickBot="1">
      <c r="A222" s="327" t="s">
        <v>174</v>
      </c>
      <c r="B222" s="82"/>
      <c r="C222" s="92"/>
      <c r="D222" s="386"/>
      <c r="E222" s="386"/>
      <c r="F222" s="387"/>
      <c r="G222" s="387"/>
      <c r="H222" s="387"/>
      <c r="I222" s="387"/>
      <c r="J222" s="387"/>
      <c r="K222" s="387"/>
      <c r="L222" s="387"/>
      <c r="M222" s="387"/>
      <c r="N222" s="386"/>
      <c r="O222" s="387"/>
      <c r="P222" s="387"/>
      <c r="Q222" s="387"/>
      <c r="R222" s="387"/>
      <c r="S222" s="388">
        <f t="array" aca="1" ref="S222" ca="1">IFERROR(SUM($D$114:$U$114*$D$124:$U$124*$D192:$U192/$D$254:$U$254)/$C192*S192/S192,0)</f>
        <v>822.6389999999999</v>
      </c>
      <c r="T222" s="387"/>
      <c r="U222" s="387"/>
      <c r="V222" s="170"/>
      <c r="W222" s="170"/>
      <c r="X222" s="177"/>
      <c r="Y222" s="33"/>
      <c r="Z222" s="33"/>
      <c r="AA222" s="33"/>
      <c r="AB222" s="33"/>
      <c r="AC222" s="33"/>
      <c r="AD222" s="33"/>
      <c r="AE222" s="33"/>
      <c r="AF222" s="33"/>
      <c r="AG222" s="33"/>
      <c r="AH222" s="33"/>
      <c r="AI222" s="33"/>
      <c r="AJ222" s="33"/>
      <c r="AK222" s="33"/>
      <c r="AL222" s="33"/>
      <c r="AM222" s="33"/>
      <c r="AN222" s="33"/>
      <c r="AO222" s="33"/>
      <c r="AP222" s="33"/>
      <c r="AQ222" s="33"/>
      <c r="AR222" s="33"/>
      <c r="AS222" s="33"/>
      <c r="AT222" s="33"/>
      <c r="AU222" s="33"/>
      <c r="AV222" s="33"/>
      <c r="AW222" s="33"/>
      <c r="AX222" s="33"/>
      <c r="AY222" s="33"/>
      <c r="AZ222" s="33"/>
      <c r="BA222" s="33"/>
      <c r="BB222" s="33"/>
      <c r="BC222" s="33"/>
    </row>
    <row r="223" spans="1:55" s="129" customFormat="1" ht="12.75" customHeight="1">
      <c r="A223" s="321" t="s">
        <v>185</v>
      </c>
      <c r="B223" s="82"/>
      <c r="C223" s="92"/>
      <c r="D223" s="338">
        <f t="shared" ref="D223:S223" ca="1" si="206">IFERROR(D186/$C186*$D193,0)</f>
        <v>0.17045454545454544</v>
      </c>
      <c r="E223" s="338">
        <f t="shared" ca="1" si="206"/>
        <v>0</v>
      </c>
      <c r="F223" s="338">
        <f t="shared" ca="1" si="206"/>
        <v>0</v>
      </c>
      <c r="G223" s="338">
        <f t="shared" ca="1" si="206"/>
        <v>0</v>
      </c>
      <c r="H223" s="338">
        <f t="shared" ca="1" si="206"/>
        <v>5.6818181818181816E-2</v>
      </c>
      <c r="I223" s="338">
        <f t="shared" ca="1" si="206"/>
        <v>0</v>
      </c>
      <c r="J223" s="338">
        <f t="shared" ca="1" si="206"/>
        <v>0</v>
      </c>
      <c r="K223" s="338">
        <f t="shared" ca="1" si="206"/>
        <v>0</v>
      </c>
      <c r="L223" s="338">
        <f t="shared" ca="1" si="206"/>
        <v>0</v>
      </c>
      <c r="M223" s="338">
        <f t="shared" ca="1" si="206"/>
        <v>0.48863636363636365</v>
      </c>
      <c r="N223" s="338">
        <f t="shared" ca="1" si="206"/>
        <v>0</v>
      </c>
      <c r="O223" s="338">
        <f t="shared" ca="1" si="206"/>
        <v>0</v>
      </c>
      <c r="P223" s="338">
        <f t="shared" ca="1" si="206"/>
        <v>0</v>
      </c>
      <c r="Q223" s="338">
        <f t="shared" ca="1" si="206"/>
        <v>0.28409090909090912</v>
      </c>
      <c r="R223" s="338">
        <f t="shared" ca="1" si="206"/>
        <v>0</v>
      </c>
      <c r="S223" s="338">
        <f t="shared" ca="1" si="206"/>
        <v>0</v>
      </c>
      <c r="T223" s="338">
        <f t="shared" ref="T223:U223" ca="1" si="207">IFERROR(T186/$C186*$D193,0)</f>
        <v>0</v>
      </c>
      <c r="U223" s="338">
        <f t="shared" ca="1" si="207"/>
        <v>0</v>
      </c>
      <c r="V223" s="5"/>
      <c r="W223" s="5"/>
      <c r="X223" s="177"/>
      <c r="Y223" s="33"/>
      <c r="Z223" s="33"/>
      <c r="AA223" s="33"/>
      <c r="AB223" s="33"/>
      <c r="AC223" s="33"/>
      <c r="AD223" s="33"/>
      <c r="AE223" s="33"/>
      <c r="AF223" s="33"/>
      <c r="AG223" s="33"/>
      <c r="AH223" s="33"/>
      <c r="AI223" s="33"/>
      <c r="AJ223" s="33"/>
      <c r="AK223" s="33"/>
      <c r="AL223" s="33"/>
      <c r="AM223" s="33"/>
      <c r="AN223" s="33"/>
      <c r="AO223" s="33"/>
      <c r="AP223" s="33"/>
      <c r="AQ223" s="33"/>
      <c r="AR223" s="33"/>
      <c r="AS223" s="33"/>
      <c r="AT223" s="33"/>
      <c r="AU223" s="33"/>
      <c r="AV223" s="33"/>
      <c r="AW223" s="33"/>
      <c r="AX223" s="33"/>
      <c r="AY223" s="33"/>
      <c r="AZ223" s="33"/>
      <c r="BA223" s="33"/>
      <c r="BB223" s="33"/>
      <c r="BC223" s="125"/>
    </row>
    <row r="224" spans="1:55" s="129" customFormat="1" ht="12.75" customHeight="1">
      <c r="A224" s="322" t="s">
        <v>185</v>
      </c>
      <c r="B224" s="82"/>
      <c r="C224" s="92"/>
      <c r="D224" s="340">
        <f t="shared" ref="D224:U224" ca="1" si="208">IFERROR(D187/$C187*$D194,0)</f>
        <v>0</v>
      </c>
      <c r="E224" s="340">
        <f t="shared" ca="1" si="208"/>
        <v>0</v>
      </c>
      <c r="F224" s="340">
        <f t="shared" ca="1" si="208"/>
        <v>0</v>
      </c>
      <c r="G224" s="340">
        <f t="shared" ca="1" si="208"/>
        <v>0</v>
      </c>
      <c r="H224" s="340">
        <f t="shared" ca="1" si="208"/>
        <v>0</v>
      </c>
      <c r="I224" s="340">
        <f t="shared" ca="1" si="208"/>
        <v>0</v>
      </c>
      <c r="J224" s="340">
        <f t="shared" ca="1" si="208"/>
        <v>0</v>
      </c>
      <c r="K224" s="340">
        <f t="shared" ca="1" si="208"/>
        <v>0</v>
      </c>
      <c r="L224" s="340">
        <f t="shared" ca="1" si="208"/>
        <v>0</v>
      </c>
      <c r="M224" s="340">
        <f t="shared" ca="1" si="208"/>
        <v>0</v>
      </c>
      <c r="N224" s="340">
        <f t="shared" ca="1" si="208"/>
        <v>0</v>
      </c>
      <c r="O224" s="340">
        <f t="shared" ca="1" si="208"/>
        <v>0</v>
      </c>
      <c r="P224" s="340">
        <f t="shared" ca="1" si="208"/>
        <v>0</v>
      </c>
      <c r="Q224" s="340">
        <f t="shared" ca="1" si="208"/>
        <v>0</v>
      </c>
      <c r="R224" s="340">
        <f t="shared" ca="1" si="208"/>
        <v>0</v>
      </c>
      <c r="S224" s="340">
        <f t="shared" ca="1" si="208"/>
        <v>0</v>
      </c>
      <c r="T224" s="340">
        <f t="shared" ca="1" si="208"/>
        <v>0</v>
      </c>
      <c r="U224" s="340">
        <f t="shared" ca="1" si="208"/>
        <v>0</v>
      </c>
      <c r="V224" s="5"/>
      <c r="W224" s="5"/>
      <c r="X224" s="177"/>
      <c r="Y224" s="33"/>
      <c r="Z224" s="33"/>
      <c r="AA224" s="33"/>
      <c r="AB224" s="33"/>
      <c r="AC224" s="33"/>
      <c r="AD224" s="33"/>
      <c r="AE224" s="33"/>
      <c r="AF224" s="33"/>
      <c r="AG224" s="33"/>
      <c r="AH224" s="33"/>
      <c r="AI224" s="33"/>
      <c r="AJ224" s="33"/>
      <c r="AK224" s="33"/>
      <c r="AL224" s="33"/>
      <c r="AM224" s="33"/>
      <c r="AN224" s="33"/>
      <c r="AO224" s="33"/>
      <c r="AP224" s="33"/>
      <c r="AQ224" s="33"/>
      <c r="AR224" s="33"/>
      <c r="AS224" s="33"/>
      <c r="AT224" s="33"/>
      <c r="AU224" s="33"/>
      <c r="AV224" s="33"/>
      <c r="AW224" s="33"/>
      <c r="AX224" s="33"/>
      <c r="AY224" s="33"/>
      <c r="AZ224" s="33"/>
      <c r="BA224" s="33"/>
      <c r="BB224" s="33"/>
      <c r="BC224" s="125"/>
    </row>
    <row r="225" spans="1:55" s="129" customFormat="1" ht="12.75" customHeight="1">
      <c r="A225" s="322" t="s">
        <v>185</v>
      </c>
      <c r="B225" s="82"/>
      <c r="C225" s="92"/>
      <c r="D225" s="340">
        <f t="shared" ref="D225:U225" si="209">IFERROR(D188/$C188*$D195,0)</f>
        <v>0</v>
      </c>
      <c r="E225" s="340">
        <f t="shared" si="209"/>
        <v>0</v>
      </c>
      <c r="F225" s="340">
        <f t="shared" si="209"/>
        <v>0</v>
      </c>
      <c r="G225" s="340">
        <f t="shared" si="209"/>
        <v>0</v>
      </c>
      <c r="H225" s="340">
        <f t="shared" si="209"/>
        <v>0</v>
      </c>
      <c r="I225" s="340">
        <f t="shared" si="209"/>
        <v>0</v>
      </c>
      <c r="J225" s="340">
        <f t="shared" si="209"/>
        <v>0</v>
      </c>
      <c r="K225" s="340">
        <f t="shared" si="209"/>
        <v>0</v>
      </c>
      <c r="L225" s="340">
        <f t="shared" si="209"/>
        <v>0</v>
      </c>
      <c r="M225" s="340">
        <f t="shared" si="209"/>
        <v>0</v>
      </c>
      <c r="N225" s="340">
        <f t="shared" si="209"/>
        <v>0</v>
      </c>
      <c r="O225" s="340">
        <f t="shared" si="209"/>
        <v>0</v>
      </c>
      <c r="P225" s="340">
        <f t="shared" si="209"/>
        <v>0</v>
      </c>
      <c r="Q225" s="340">
        <f t="shared" si="209"/>
        <v>0</v>
      </c>
      <c r="R225" s="340">
        <f t="shared" si="209"/>
        <v>0</v>
      </c>
      <c r="S225" s="340">
        <f t="shared" si="209"/>
        <v>0</v>
      </c>
      <c r="T225" s="340">
        <f t="shared" si="209"/>
        <v>0</v>
      </c>
      <c r="U225" s="340">
        <f t="shared" si="209"/>
        <v>0</v>
      </c>
      <c r="V225" s="5"/>
      <c r="W225" s="5"/>
      <c r="X225" s="177"/>
      <c r="Y225" s="33"/>
      <c r="Z225" s="33"/>
      <c r="AA225" s="33"/>
      <c r="AB225" s="33"/>
      <c r="AC225" s="33"/>
      <c r="AD225" s="33"/>
      <c r="AE225" s="33"/>
      <c r="AF225" s="33"/>
      <c r="AG225" s="33"/>
      <c r="AH225" s="33"/>
      <c r="AI225" s="33"/>
      <c r="AJ225" s="33"/>
      <c r="AK225" s="33"/>
      <c r="AL225" s="33"/>
      <c r="AM225" s="33"/>
      <c r="AN225" s="33"/>
      <c r="AO225" s="33"/>
      <c r="AP225" s="33"/>
      <c r="AQ225" s="33"/>
      <c r="AR225" s="33"/>
      <c r="AS225" s="33"/>
      <c r="AT225" s="33"/>
      <c r="AU225" s="33"/>
      <c r="AV225" s="33"/>
      <c r="AW225" s="33"/>
      <c r="AX225" s="33"/>
      <c r="AY225" s="33"/>
      <c r="AZ225" s="33"/>
      <c r="BA225" s="33"/>
      <c r="BB225" s="33"/>
      <c r="BC225" s="125"/>
    </row>
    <row r="226" spans="1:55" s="129" customFormat="1" ht="12.75" customHeight="1">
      <c r="A226" s="322" t="s">
        <v>185</v>
      </c>
      <c r="B226" s="82"/>
      <c r="C226" s="92"/>
      <c r="D226" s="340">
        <f t="shared" ref="D226:U226" ca="1" si="210">IFERROR(D189/$C189*$D196,0)</f>
        <v>0</v>
      </c>
      <c r="E226" s="340">
        <f t="shared" ca="1" si="210"/>
        <v>0</v>
      </c>
      <c r="F226" s="340">
        <f t="shared" ca="1" si="210"/>
        <v>0</v>
      </c>
      <c r="G226" s="340">
        <f t="shared" ca="1" si="210"/>
        <v>0</v>
      </c>
      <c r="H226" s="340">
        <f t="shared" ca="1" si="210"/>
        <v>0</v>
      </c>
      <c r="I226" s="340">
        <f t="shared" ca="1" si="210"/>
        <v>0</v>
      </c>
      <c r="J226" s="340">
        <f t="shared" ca="1" si="210"/>
        <v>0</v>
      </c>
      <c r="K226" s="340">
        <f t="shared" ca="1" si="210"/>
        <v>0</v>
      </c>
      <c r="L226" s="340">
        <f t="shared" ca="1" si="210"/>
        <v>0</v>
      </c>
      <c r="M226" s="340">
        <f t="shared" ca="1" si="210"/>
        <v>0</v>
      </c>
      <c r="N226" s="340">
        <f t="shared" ca="1" si="210"/>
        <v>0</v>
      </c>
      <c r="O226" s="340">
        <f t="shared" ca="1" si="210"/>
        <v>0</v>
      </c>
      <c r="P226" s="340">
        <f t="shared" ca="1" si="210"/>
        <v>0</v>
      </c>
      <c r="Q226" s="340">
        <f t="shared" ca="1" si="210"/>
        <v>0</v>
      </c>
      <c r="R226" s="340">
        <f t="shared" ca="1" si="210"/>
        <v>0</v>
      </c>
      <c r="S226" s="340">
        <f t="shared" ca="1" si="210"/>
        <v>0</v>
      </c>
      <c r="T226" s="340">
        <f t="shared" ca="1" si="210"/>
        <v>0</v>
      </c>
      <c r="U226" s="340">
        <f t="shared" ca="1" si="210"/>
        <v>0</v>
      </c>
      <c r="V226" s="5"/>
      <c r="W226" s="5"/>
      <c r="X226" s="177"/>
      <c r="Y226" s="33"/>
      <c r="Z226" s="33"/>
      <c r="AA226" s="33"/>
      <c r="AB226" s="33"/>
      <c r="AC226" s="33"/>
      <c r="AD226" s="33"/>
      <c r="AE226" s="33"/>
      <c r="AF226" s="33"/>
      <c r="AG226" s="33"/>
      <c r="AH226" s="33"/>
      <c r="AI226" s="33"/>
      <c r="AJ226" s="33"/>
      <c r="AK226" s="33"/>
      <c r="AL226" s="33"/>
      <c r="AM226" s="33"/>
      <c r="AN226" s="33"/>
      <c r="AO226" s="33"/>
      <c r="AP226" s="33"/>
      <c r="AQ226" s="33"/>
      <c r="AR226" s="33"/>
      <c r="AS226" s="33"/>
      <c r="AT226" s="33"/>
      <c r="AU226" s="33"/>
      <c r="AV226" s="33"/>
      <c r="AW226" s="33"/>
      <c r="AX226" s="33"/>
      <c r="AY226" s="33"/>
      <c r="AZ226" s="33"/>
      <c r="BA226" s="33"/>
      <c r="BB226" s="33"/>
      <c r="BC226" s="125"/>
    </row>
    <row r="227" spans="1:55" s="129" customFormat="1" ht="12.75" customHeight="1">
      <c r="A227" s="322" t="s">
        <v>185</v>
      </c>
      <c r="B227" s="82"/>
      <c r="C227" s="92"/>
      <c r="D227" s="340">
        <f t="shared" ref="D227:U227" si="211">IFERROR(D190/$C190*$D197,0)</f>
        <v>0</v>
      </c>
      <c r="E227" s="340">
        <f t="shared" si="211"/>
        <v>0</v>
      </c>
      <c r="F227" s="340">
        <f t="shared" si="211"/>
        <v>0</v>
      </c>
      <c r="G227" s="340">
        <f t="shared" si="211"/>
        <v>0</v>
      </c>
      <c r="H227" s="340">
        <f t="shared" si="211"/>
        <v>0</v>
      </c>
      <c r="I227" s="340">
        <f t="shared" si="211"/>
        <v>0</v>
      </c>
      <c r="J227" s="340">
        <f t="shared" si="211"/>
        <v>0</v>
      </c>
      <c r="K227" s="340">
        <f t="shared" si="211"/>
        <v>0</v>
      </c>
      <c r="L227" s="340">
        <f t="shared" si="211"/>
        <v>0</v>
      </c>
      <c r="M227" s="340">
        <f t="shared" si="211"/>
        <v>0</v>
      </c>
      <c r="N227" s="340">
        <f t="shared" si="211"/>
        <v>0</v>
      </c>
      <c r="O227" s="340">
        <f t="shared" si="211"/>
        <v>0</v>
      </c>
      <c r="P227" s="340">
        <f t="shared" si="211"/>
        <v>0</v>
      </c>
      <c r="Q227" s="340">
        <f t="shared" si="211"/>
        <v>0</v>
      </c>
      <c r="R227" s="340">
        <f t="shared" si="211"/>
        <v>0</v>
      </c>
      <c r="S227" s="340">
        <f t="shared" si="211"/>
        <v>0</v>
      </c>
      <c r="T227" s="340">
        <f t="shared" si="211"/>
        <v>0</v>
      </c>
      <c r="U227" s="340">
        <f t="shared" si="211"/>
        <v>0</v>
      </c>
      <c r="V227" s="5"/>
      <c r="W227" s="5"/>
      <c r="X227" s="177"/>
      <c r="Y227" s="33"/>
      <c r="Z227" s="33"/>
      <c r="AA227" s="33"/>
      <c r="AB227" s="33"/>
      <c r="AC227" s="33"/>
      <c r="AD227" s="33"/>
      <c r="AE227" s="33"/>
      <c r="AF227" s="33"/>
      <c r="AG227" s="33"/>
      <c r="AH227" s="33"/>
      <c r="AI227" s="33"/>
      <c r="AJ227" s="33"/>
      <c r="AK227" s="33"/>
      <c r="AL227" s="33"/>
      <c r="AM227" s="33"/>
      <c r="AN227" s="33"/>
      <c r="AO227" s="33"/>
      <c r="AP227" s="33"/>
      <c r="AQ227" s="33"/>
      <c r="AR227" s="33"/>
      <c r="AS227" s="33"/>
      <c r="AT227" s="33"/>
      <c r="AU227" s="33"/>
      <c r="AV227" s="33"/>
      <c r="AW227" s="33"/>
      <c r="AX227" s="33"/>
      <c r="AY227" s="33"/>
      <c r="AZ227" s="33"/>
      <c r="BA227" s="33"/>
      <c r="BB227" s="33"/>
      <c r="BC227" s="125"/>
    </row>
    <row r="228" spans="1:55" s="129" customFormat="1" ht="12.75" customHeight="1">
      <c r="A228" s="322" t="s">
        <v>185</v>
      </c>
      <c r="B228" s="82"/>
      <c r="C228" s="92"/>
      <c r="D228" s="340">
        <f t="shared" ref="D228:U228" ca="1" si="212">IFERROR(D191/$C191*$D198,0)</f>
        <v>0</v>
      </c>
      <c r="E228" s="340">
        <f t="shared" ca="1" si="212"/>
        <v>0</v>
      </c>
      <c r="F228" s="340">
        <f t="shared" ca="1" si="212"/>
        <v>0</v>
      </c>
      <c r="G228" s="340">
        <f t="shared" ca="1" si="212"/>
        <v>0</v>
      </c>
      <c r="H228" s="340">
        <f t="shared" ca="1" si="212"/>
        <v>0</v>
      </c>
      <c r="I228" s="340">
        <f t="shared" ca="1" si="212"/>
        <v>0</v>
      </c>
      <c r="J228" s="340">
        <f t="shared" ca="1" si="212"/>
        <v>0</v>
      </c>
      <c r="K228" s="340">
        <f t="shared" ca="1" si="212"/>
        <v>0</v>
      </c>
      <c r="L228" s="340">
        <f t="shared" ca="1" si="212"/>
        <v>0</v>
      </c>
      <c r="M228" s="340">
        <f t="shared" ca="1" si="212"/>
        <v>0</v>
      </c>
      <c r="N228" s="340">
        <f t="shared" ca="1" si="212"/>
        <v>0</v>
      </c>
      <c r="O228" s="340">
        <f t="shared" ca="1" si="212"/>
        <v>0</v>
      </c>
      <c r="P228" s="340">
        <f t="shared" ca="1" si="212"/>
        <v>0</v>
      </c>
      <c r="Q228" s="340">
        <f t="shared" ca="1" si="212"/>
        <v>0</v>
      </c>
      <c r="R228" s="340">
        <f t="shared" ca="1" si="212"/>
        <v>0</v>
      </c>
      <c r="S228" s="340">
        <f t="shared" ca="1" si="212"/>
        <v>0</v>
      </c>
      <c r="T228" s="340">
        <f t="shared" ca="1" si="212"/>
        <v>0</v>
      </c>
      <c r="U228" s="340">
        <f t="shared" ca="1" si="212"/>
        <v>0</v>
      </c>
      <c r="V228" s="5"/>
      <c r="W228" s="5"/>
      <c r="X228" s="177"/>
      <c r="Y228" s="33"/>
      <c r="Z228" s="33"/>
      <c r="AA228" s="33"/>
      <c r="AB228" s="33"/>
      <c r="AC228" s="33"/>
      <c r="AD228" s="33"/>
      <c r="AE228" s="33"/>
      <c r="AF228" s="33"/>
      <c r="AG228" s="33"/>
      <c r="AH228" s="33"/>
      <c r="AI228" s="33"/>
      <c r="AJ228" s="33"/>
      <c r="AK228" s="33"/>
      <c r="AL228" s="33"/>
      <c r="AM228" s="33"/>
      <c r="AN228" s="33"/>
      <c r="AO228" s="33"/>
      <c r="AP228" s="33"/>
      <c r="AQ228" s="33"/>
      <c r="AR228" s="33"/>
      <c r="AS228" s="33"/>
      <c r="AT228" s="33"/>
      <c r="AU228" s="33"/>
      <c r="AV228" s="33"/>
      <c r="AW228" s="33"/>
      <c r="AX228" s="33"/>
      <c r="AY228" s="33"/>
      <c r="AZ228" s="33"/>
      <c r="BA228" s="33"/>
      <c r="BB228" s="33"/>
      <c r="BC228" s="125"/>
    </row>
    <row r="229" spans="1:55" s="129" customFormat="1" ht="12.75" customHeight="1" thickBot="1">
      <c r="A229" s="89" t="s">
        <v>185</v>
      </c>
      <c r="B229" s="82"/>
      <c r="C229" s="92"/>
      <c r="D229" s="341">
        <f t="shared" ref="D229:U229" si="213">IFERROR(D192/$C192*$D199,0)</f>
        <v>0</v>
      </c>
      <c r="E229" s="341">
        <f t="shared" si="213"/>
        <v>0</v>
      </c>
      <c r="F229" s="341">
        <f t="shared" si="213"/>
        <v>0</v>
      </c>
      <c r="G229" s="341">
        <f t="shared" si="213"/>
        <v>0</v>
      </c>
      <c r="H229" s="341">
        <f t="shared" si="213"/>
        <v>0</v>
      </c>
      <c r="I229" s="341">
        <f t="shared" si="213"/>
        <v>0</v>
      </c>
      <c r="J229" s="341">
        <f t="shared" si="213"/>
        <v>0</v>
      </c>
      <c r="K229" s="341">
        <f t="shared" si="213"/>
        <v>0</v>
      </c>
      <c r="L229" s="341">
        <f t="shared" si="213"/>
        <v>0</v>
      </c>
      <c r="M229" s="341">
        <f t="shared" si="213"/>
        <v>0</v>
      </c>
      <c r="N229" s="341">
        <f t="shared" si="213"/>
        <v>0</v>
      </c>
      <c r="O229" s="341">
        <f t="shared" si="213"/>
        <v>0</v>
      </c>
      <c r="P229" s="341">
        <f t="shared" si="213"/>
        <v>0</v>
      </c>
      <c r="Q229" s="341">
        <f t="shared" si="213"/>
        <v>0</v>
      </c>
      <c r="R229" s="341">
        <f t="shared" si="213"/>
        <v>0</v>
      </c>
      <c r="S229" s="341">
        <f t="shared" si="213"/>
        <v>0</v>
      </c>
      <c r="T229" s="341">
        <f t="shared" si="213"/>
        <v>0</v>
      </c>
      <c r="U229" s="341">
        <f t="shared" si="213"/>
        <v>0</v>
      </c>
      <c r="V229" s="5"/>
      <c r="W229" s="5"/>
      <c r="X229" s="177"/>
      <c r="Y229" s="33"/>
      <c r="Z229" s="33"/>
      <c r="AA229" s="33"/>
      <c r="AB229" s="33"/>
      <c r="AC229" s="33"/>
      <c r="AD229" s="33"/>
      <c r="AE229" s="33"/>
      <c r="AF229" s="33"/>
      <c r="AG229" s="33"/>
      <c r="AH229" s="33"/>
      <c r="AI229" s="33"/>
      <c r="AJ229" s="33"/>
      <c r="AK229" s="33"/>
      <c r="AL229" s="33"/>
      <c r="AM229" s="33"/>
      <c r="AN229" s="33"/>
      <c r="AO229" s="33"/>
      <c r="AP229" s="33"/>
      <c r="AQ229" s="33"/>
      <c r="AR229" s="33"/>
      <c r="AS229" s="33"/>
      <c r="AT229" s="33"/>
      <c r="AU229" s="33"/>
      <c r="AV229" s="33"/>
      <c r="AW229" s="33"/>
      <c r="AX229" s="33"/>
      <c r="AY229" s="33"/>
      <c r="AZ229" s="33"/>
      <c r="BA229" s="33"/>
      <c r="BB229" s="33"/>
      <c r="BC229" s="125"/>
    </row>
    <row r="230" spans="1:55" s="129" customFormat="1" ht="12.75" customHeight="1">
      <c r="A230" s="321" t="s">
        <v>154</v>
      </c>
      <c r="B230" s="82"/>
      <c r="C230" s="92"/>
      <c r="D230" s="338">
        <f t="shared" ref="D230:U230" ca="1" si="214">IFERROR($D193*MAX($C186-$E193,0)/$C186*D186/D186,0)+IFERROR((1-$D193)*$E193/$C186*D186/D186,0)</f>
        <v>0.54545454545454541</v>
      </c>
      <c r="E230" s="338">
        <f t="shared" ca="1" si="214"/>
        <v>0</v>
      </c>
      <c r="F230" s="338">
        <f t="shared" ca="1" si="214"/>
        <v>0</v>
      </c>
      <c r="G230" s="338">
        <f t="shared" ca="1" si="214"/>
        <v>0</v>
      </c>
      <c r="H230" s="338">
        <f t="shared" ca="1" si="214"/>
        <v>0.54545454545454541</v>
      </c>
      <c r="I230" s="338">
        <f t="shared" ca="1" si="214"/>
        <v>0</v>
      </c>
      <c r="J230" s="338">
        <f t="shared" ca="1" si="214"/>
        <v>0</v>
      </c>
      <c r="K230" s="338">
        <f t="shared" ca="1" si="214"/>
        <v>0</v>
      </c>
      <c r="L230" s="338">
        <f t="shared" ca="1" si="214"/>
        <v>0</v>
      </c>
      <c r="M230" s="338">
        <f t="shared" ca="1" si="214"/>
        <v>0.54545454545454541</v>
      </c>
      <c r="N230" s="338">
        <f t="shared" ca="1" si="214"/>
        <v>0</v>
      </c>
      <c r="O230" s="338">
        <f t="shared" ca="1" si="214"/>
        <v>0</v>
      </c>
      <c r="P230" s="338">
        <f t="shared" ca="1" si="214"/>
        <v>0</v>
      </c>
      <c r="Q230" s="338">
        <f t="shared" ca="1" si="214"/>
        <v>0.54545454545454541</v>
      </c>
      <c r="R230" s="338">
        <f t="shared" ca="1" si="214"/>
        <v>0</v>
      </c>
      <c r="S230" s="338">
        <f t="shared" ca="1" si="214"/>
        <v>0</v>
      </c>
      <c r="T230" s="338">
        <f t="shared" ca="1" si="214"/>
        <v>0</v>
      </c>
      <c r="U230" s="338">
        <f t="shared" ca="1" si="214"/>
        <v>0</v>
      </c>
      <c r="V230" s="5"/>
      <c r="W230" s="5"/>
      <c r="X230" s="177"/>
      <c r="Y230" s="33"/>
      <c r="Z230" s="33"/>
      <c r="AA230" s="33"/>
      <c r="AB230" s="33"/>
      <c r="AC230" s="33"/>
      <c r="AD230" s="33"/>
      <c r="AE230" s="33"/>
      <c r="AF230" s="33"/>
      <c r="AG230" s="33"/>
      <c r="AH230" s="33"/>
      <c r="AI230" s="33"/>
      <c r="AJ230" s="33"/>
      <c r="AK230" s="33"/>
      <c r="AL230" s="33"/>
      <c r="AM230" s="33"/>
      <c r="AN230" s="33"/>
      <c r="AO230" s="33"/>
      <c r="AP230" s="33"/>
      <c r="AQ230" s="33"/>
      <c r="AR230" s="33"/>
      <c r="AS230" s="33"/>
      <c r="AT230" s="33"/>
      <c r="AU230" s="33"/>
      <c r="AV230" s="33"/>
      <c r="AW230" s="33"/>
      <c r="AX230" s="33"/>
      <c r="AY230" s="33"/>
      <c r="AZ230" s="33"/>
      <c r="BA230" s="33"/>
      <c r="BB230" s="33"/>
      <c r="BC230" s="125"/>
    </row>
    <row r="231" spans="1:55" s="129" customFormat="1" ht="12.75" customHeight="1">
      <c r="A231" s="342" t="s">
        <v>154</v>
      </c>
      <c r="B231" s="82"/>
      <c r="C231" s="92"/>
      <c r="D231" s="339">
        <f t="shared" ref="D231:U231" ca="1" si="215">IFERROR($D194*MAX($C187-$E194,0)/$C187*D187/D187,0)+IFERROR((1-$D194)*$E194/$C187*D187/D187,0)</f>
        <v>0</v>
      </c>
      <c r="E231" s="339">
        <f t="shared" ca="1" si="215"/>
        <v>0.16666666666666666</v>
      </c>
      <c r="F231" s="339">
        <f t="shared" ca="1" si="215"/>
        <v>0</v>
      </c>
      <c r="G231" s="339">
        <f t="shared" ca="1" si="215"/>
        <v>0</v>
      </c>
      <c r="H231" s="339">
        <f t="shared" ca="1" si="215"/>
        <v>0</v>
      </c>
      <c r="I231" s="339">
        <f t="shared" ca="1" si="215"/>
        <v>0.16666666666666666</v>
      </c>
      <c r="J231" s="339">
        <f t="shared" ca="1" si="215"/>
        <v>0</v>
      </c>
      <c r="K231" s="339">
        <f t="shared" ca="1" si="215"/>
        <v>0</v>
      </c>
      <c r="L231" s="339">
        <f t="shared" ca="1" si="215"/>
        <v>0</v>
      </c>
      <c r="M231" s="339">
        <f t="shared" ca="1" si="215"/>
        <v>0</v>
      </c>
      <c r="N231" s="339">
        <f t="shared" ca="1" si="215"/>
        <v>0.16666666666666666</v>
      </c>
      <c r="O231" s="339">
        <f t="shared" ca="1" si="215"/>
        <v>0</v>
      </c>
      <c r="P231" s="339">
        <f t="shared" ca="1" si="215"/>
        <v>0</v>
      </c>
      <c r="Q231" s="339">
        <f t="shared" ca="1" si="215"/>
        <v>0</v>
      </c>
      <c r="R231" s="339">
        <f t="shared" ca="1" si="215"/>
        <v>0</v>
      </c>
      <c r="S231" s="339">
        <f t="shared" ca="1" si="215"/>
        <v>0</v>
      </c>
      <c r="T231" s="339">
        <f t="shared" ca="1" si="215"/>
        <v>0</v>
      </c>
      <c r="U231" s="339">
        <f t="shared" ca="1" si="215"/>
        <v>0</v>
      </c>
      <c r="V231" s="5"/>
      <c r="W231" s="5"/>
      <c r="X231" s="177"/>
      <c r="Y231" s="33"/>
      <c r="Z231" s="33"/>
      <c r="AA231" s="33"/>
      <c r="AB231" s="33"/>
      <c r="AC231" s="33"/>
      <c r="AD231" s="33"/>
      <c r="AE231" s="33"/>
      <c r="AF231" s="33"/>
      <c r="AG231" s="33"/>
      <c r="AH231" s="33"/>
      <c r="AI231" s="33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  <c r="AV231" s="33"/>
      <c r="AW231" s="33"/>
      <c r="AX231" s="33"/>
      <c r="AY231" s="33"/>
      <c r="AZ231" s="33"/>
      <c r="BA231" s="33"/>
      <c r="BB231" s="33"/>
      <c r="BC231" s="125"/>
    </row>
    <row r="232" spans="1:55" s="129" customFormat="1" ht="12.75" customHeight="1">
      <c r="A232" s="342" t="s">
        <v>154</v>
      </c>
      <c r="B232" s="82"/>
      <c r="C232" s="92"/>
      <c r="D232" s="339">
        <f t="shared" ref="D232:U232" si="216">IFERROR($D195*MAX($C188-$E195,0)/$C188*D188/D188,0)+IFERROR((1-$D195)*$E195/$C188*D188/D188,0)</f>
        <v>0</v>
      </c>
      <c r="E232" s="339">
        <f t="shared" si="216"/>
        <v>0</v>
      </c>
      <c r="F232" s="339">
        <f t="shared" si="216"/>
        <v>0.48809523809523803</v>
      </c>
      <c r="G232" s="339">
        <f t="shared" si="216"/>
        <v>0</v>
      </c>
      <c r="H232" s="339">
        <f t="shared" si="216"/>
        <v>0</v>
      </c>
      <c r="I232" s="339">
        <f t="shared" si="216"/>
        <v>0</v>
      </c>
      <c r="J232" s="339">
        <f t="shared" si="216"/>
        <v>0.48809523809523808</v>
      </c>
      <c r="K232" s="339">
        <f t="shared" si="216"/>
        <v>0</v>
      </c>
      <c r="L232" s="339">
        <f t="shared" si="216"/>
        <v>0</v>
      </c>
      <c r="M232" s="339">
        <f t="shared" si="216"/>
        <v>0</v>
      </c>
      <c r="N232" s="339">
        <f t="shared" si="216"/>
        <v>0</v>
      </c>
      <c r="O232" s="339">
        <f t="shared" si="216"/>
        <v>0</v>
      </c>
      <c r="P232" s="339">
        <f t="shared" si="216"/>
        <v>0.48809523809523808</v>
      </c>
      <c r="Q232" s="339">
        <f t="shared" si="216"/>
        <v>0</v>
      </c>
      <c r="R232" s="339">
        <f t="shared" si="216"/>
        <v>0</v>
      </c>
      <c r="S232" s="339">
        <f t="shared" si="216"/>
        <v>0</v>
      </c>
      <c r="T232" s="339">
        <f t="shared" si="216"/>
        <v>0</v>
      </c>
      <c r="U232" s="339">
        <f t="shared" si="216"/>
        <v>0</v>
      </c>
      <c r="V232" s="5"/>
      <c r="W232" s="5"/>
      <c r="X232" s="177"/>
      <c r="Y232" s="33"/>
      <c r="Z232" s="33"/>
      <c r="AA232" s="33"/>
      <c r="AB232" s="33"/>
      <c r="AC232" s="33"/>
      <c r="AD232" s="33"/>
      <c r="AE232" s="33"/>
      <c r="AF232" s="33"/>
      <c r="AG232" s="33"/>
      <c r="AH232" s="33"/>
      <c r="AI232" s="33"/>
      <c r="AJ232" s="33"/>
      <c r="AK232" s="33"/>
      <c r="AL232" s="33"/>
      <c r="AM232" s="33"/>
      <c r="AN232" s="33"/>
      <c r="AO232" s="33"/>
      <c r="AP232" s="33"/>
      <c r="AQ232" s="33"/>
      <c r="AR232" s="33"/>
      <c r="AS232" s="33"/>
      <c r="AT232" s="33"/>
      <c r="AU232" s="33"/>
      <c r="AV232" s="33"/>
      <c r="AW232" s="33"/>
      <c r="AX232" s="33"/>
      <c r="AY232" s="33"/>
      <c r="AZ232" s="33"/>
      <c r="BA232" s="33"/>
      <c r="BB232" s="33"/>
      <c r="BC232" s="125"/>
    </row>
    <row r="233" spans="1:55" s="129" customFormat="1" ht="12.75" customHeight="1">
      <c r="A233" s="342" t="s">
        <v>154</v>
      </c>
      <c r="B233" s="82"/>
      <c r="C233" s="92"/>
      <c r="D233" s="339">
        <f t="shared" ref="D233:U233" ca="1" si="217">IFERROR($D196*MAX($C189-$E196,0)/$C189*D189/D189,0)+IFERROR((1-$D196)*$E196/$C189*D189/D189,0)</f>
        <v>0</v>
      </c>
      <c r="E233" s="339">
        <f t="shared" ca="1" si="217"/>
        <v>0</v>
      </c>
      <c r="F233" s="339">
        <f t="shared" ca="1" si="217"/>
        <v>0</v>
      </c>
      <c r="G233" s="339">
        <f t="shared" ca="1" si="217"/>
        <v>0</v>
      </c>
      <c r="H233" s="339">
        <f t="shared" ca="1" si="217"/>
        <v>0</v>
      </c>
      <c r="I233" s="339">
        <f t="shared" ca="1" si="217"/>
        <v>0</v>
      </c>
      <c r="J233" s="339">
        <f t="shared" ca="1" si="217"/>
        <v>0</v>
      </c>
      <c r="K233" s="339">
        <f t="shared" ca="1" si="217"/>
        <v>0</v>
      </c>
      <c r="L233" s="339">
        <f t="shared" ca="1" si="217"/>
        <v>0</v>
      </c>
      <c r="M233" s="339">
        <f t="shared" ca="1" si="217"/>
        <v>0</v>
      </c>
      <c r="N233" s="339">
        <f t="shared" ca="1" si="217"/>
        <v>0</v>
      </c>
      <c r="O233" s="339">
        <f t="shared" ca="1" si="217"/>
        <v>0</v>
      </c>
      <c r="P233" s="339">
        <f t="shared" ca="1" si="217"/>
        <v>0</v>
      </c>
      <c r="Q233" s="339">
        <f t="shared" ca="1" si="217"/>
        <v>0</v>
      </c>
      <c r="R233" s="339">
        <f t="shared" ca="1" si="217"/>
        <v>0</v>
      </c>
      <c r="S233" s="339">
        <f t="shared" ca="1" si="217"/>
        <v>0</v>
      </c>
      <c r="T233" s="339">
        <f t="shared" ca="1" si="217"/>
        <v>0</v>
      </c>
      <c r="U233" s="339">
        <f t="shared" ca="1" si="217"/>
        <v>0</v>
      </c>
      <c r="V233" s="5"/>
      <c r="W233" s="5"/>
      <c r="X233" s="177"/>
      <c r="Y233" s="33"/>
      <c r="Z233" s="33"/>
      <c r="AA233" s="33"/>
      <c r="AB233" s="33"/>
      <c r="AC233" s="33"/>
      <c r="AD233" s="33"/>
      <c r="AE233" s="33"/>
      <c r="AF233" s="33"/>
      <c r="AG233" s="33"/>
      <c r="AH233" s="33"/>
      <c r="AI233" s="33"/>
      <c r="AJ233" s="33"/>
      <c r="AK233" s="33"/>
      <c r="AL233" s="33"/>
      <c r="AM233" s="33"/>
      <c r="AN233" s="33"/>
      <c r="AO233" s="33"/>
      <c r="AP233" s="33"/>
      <c r="AQ233" s="33"/>
      <c r="AR233" s="33"/>
      <c r="AS233" s="33"/>
      <c r="AT233" s="33"/>
      <c r="AU233" s="33"/>
      <c r="AV233" s="33"/>
      <c r="AW233" s="33"/>
      <c r="AX233" s="33"/>
      <c r="AY233" s="33"/>
      <c r="AZ233" s="33"/>
      <c r="BA233" s="33"/>
      <c r="BB233" s="33"/>
      <c r="BC233" s="125"/>
    </row>
    <row r="234" spans="1:55" s="129" customFormat="1" ht="12.75" customHeight="1">
      <c r="A234" s="342" t="s">
        <v>154</v>
      </c>
      <c r="B234" s="82"/>
      <c r="C234" s="92"/>
      <c r="D234" s="339">
        <f t="shared" ref="D234:U234" si="218">IFERROR($D197*MAX($C190-$E197,0)/$C190*D190/D190,0)+IFERROR((1-$D197)*$E197/$C190*D190/D190,0)</f>
        <v>0</v>
      </c>
      <c r="E234" s="339">
        <f t="shared" si="218"/>
        <v>0</v>
      </c>
      <c r="F234" s="339">
        <f t="shared" si="218"/>
        <v>0</v>
      </c>
      <c r="G234" s="339">
        <f t="shared" si="218"/>
        <v>0</v>
      </c>
      <c r="H234" s="339">
        <f t="shared" si="218"/>
        <v>0</v>
      </c>
      <c r="I234" s="339">
        <f t="shared" si="218"/>
        <v>0</v>
      </c>
      <c r="J234" s="339">
        <f t="shared" si="218"/>
        <v>0</v>
      </c>
      <c r="K234" s="339">
        <f t="shared" si="218"/>
        <v>0</v>
      </c>
      <c r="L234" s="339">
        <f t="shared" si="218"/>
        <v>0</v>
      </c>
      <c r="M234" s="339">
        <f t="shared" si="218"/>
        <v>0</v>
      </c>
      <c r="N234" s="339">
        <f t="shared" si="218"/>
        <v>0</v>
      </c>
      <c r="O234" s="339">
        <f t="shared" si="218"/>
        <v>0</v>
      </c>
      <c r="P234" s="339">
        <f t="shared" si="218"/>
        <v>0</v>
      </c>
      <c r="Q234" s="339">
        <f t="shared" si="218"/>
        <v>0</v>
      </c>
      <c r="R234" s="339">
        <f t="shared" si="218"/>
        <v>0</v>
      </c>
      <c r="S234" s="339">
        <f t="shared" si="218"/>
        <v>0</v>
      </c>
      <c r="T234" s="339">
        <f t="shared" si="218"/>
        <v>1</v>
      </c>
      <c r="U234" s="339">
        <f t="shared" si="218"/>
        <v>0</v>
      </c>
      <c r="V234" s="5"/>
      <c r="W234" s="5"/>
      <c r="X234" s="177"/>
      <c r="Y234" s="33"/>
      <c r="Z234" s="33"/>
      <c r="AA234" s="33"/>
      <c r="AB234" s="33"/>
      <c r="AC234" s="33"/>
      <c r="AD234" s="33"/>
      <c r="AE234" s="33"/>
      <c r="AF234" s="33"/>
      <c r="AG234" s="33"/>
      <c r="AH234" s="33"/>
      <c r="AI234" s="33"/>
      <c r="AJ234" s="33"/>
      <c r="AK234" s="33"/>
      <c r="AL234" s="33"/>
      <c r="AM234" s="33"/>
      <c r="AN234" s="33"/>
      <c r="AO234" s="33"/>
      <c r="AP234" s="33"/>
      <c r="AQ234" s="33"/>
      <c r="AR234" s="33"/>
      <c r="AS234" s="33"/>
      <c r="AT234" s="33"/>
      <c r="AU234" s="33"/>
      <c r="AV234" s="33"/>
      <c r="AW234" s="33"/>
      <c r="AX234" s="33"/>
      <c r="AY234" s="33"/>
      <c r="AZ234" s="33"/>
      <c r="BA234" s="33"/>
      <c r="BB234" s="33"/>
      <c r="BC234" s="125"/>
    </row>
    <row r="235" spans="1:55" s="129" customFormat="1" ht="12.75" customHeight="1">
      <c r="A235" s="269" t="s">
        <v>154</v>
      </c>
      <c r="B235" s="82"/>
      <c r="C235" s="92"/>
      <c r="D235" s="343">
        <f t="shared" ref="D235:U235" ca="1" si="219">IFERROR($D198*MAX($C191-$E198,0)/$C191*D191/D191,0)+IFERROR((1-$D198)*$E198/$C191*D191/D191,0)</f>
        <v>0</v>
      </c>
      <c r="E235" s="343">
        <f t="shared" ca="1" si="219"/>
        <v>0</v>
      </c>
      <c r="F235" s="343">
        <f t="shared" ca="1" si="219"/>
        <v>0</v>
      </c>
      <c r="G235" s="343">
        <f t="shared" ca="1" si="219"/>
        <v>0</v>
      </c>
      <c r="H235" s="343">
        <f t="shared" ca="1" si="219"/>
        <v>0</v>
      </c>
      <c r="I235" s="343">
        <f t="shared" ca="1" si="219"/>
        <v>0</v>
      </c>
      <c r="J235" s="343">
        <f t="shared" ca="1" si="219"/>
        <v>0</v>
      </c>
      <c r="K235" s="343">
        <f t="shared" ca="1" si="219"/>
        <v>0</v>
      </c>
      <c r="L235" s="343">
        <f t="shared" ca="1" si="219"/>
        <v>0.36764705882352944</v>
      </c>
      <c r="M235" s="343">
        <f t="shared" ca="1" si="219"/>
        <v>0</v>
      </c>
      <c r="N235" s="343">
        <f t="shared" ca="1" si="219"/>
        <v>0</v>
      </c>
      <c r="O235" s="343">
        <f t="shared" ca="1" si="219"/>
        <v>0</v>
      </c>
      <c r="P235" s="343">
        <f t="shared" ca="1" si="219"/>
        <v>0</v>
      </c>
      <c r="Q235" s="343">
        <f t="shared" ca="1" si="219"/>
        <v>0</v>
      </c>
      <c r="R235" s="343">
        <f t="shared" ca="1" si="219"/>
        <v>0</v>
      </c>
      <c r="S235" s="343">
        <f t="shared" ca="1" si="219"/>
        <v>0</v>
      </c>
      <c r="T235" s="343">
        <f t="shared" ca="1" si="219"/>
        <v>0</v>
      </c>
      <c r="U235" s="343">
        <f t="shared" ca="1" si="219"/>
        <v>0.36764705882352944</v>
      </c>
      <c r="V235" s="5"/>
      <c r="W235" s="5"/>
      <c r="X235" s="177"/>
      <c r="Y235" s="33"/>
      <c r="Z235" s="33"/>
      <c r="AA235" s="33"/>
      <c r="AB235" s="33"/>
      <c r="AC235" s="33"/>
      <c r="AD235" s="33"/>
      <c r="AE235" s="33"/>
      <c r="AF235" s="33"/>
      <c r="AG235" s="33"/>
      <c r="AH235" s="33"/>
      <c r="AI235" s="33"/>
      <c r="AJ235" s="33"/>
      <c r="AK235" s="33"/>
      <c r="AL235" s="33"/>
      <c r="AM235" s="33"/>
      <c r="AN235" s="33"/>
      <c r="AO235" s="33"/>
      <c r="AP235" s="33"/>
      <c r="AQ235" s="33"/>
      <c r="AR235" s="33"/>
      <c r="AS235" s="33"/>
      <c r="AT235" s="33"/>
      <c r="AU235" s="33"/>
      <c r="AV235" s="33"/>
      <c r="AW235" s="33"/>
      <c r="AX235" s="33"/>
      <c r="AY235" s="33"/>
      <c r="AZ235" s="33"/>
      <c r="BA235" s="33"/>
      <c r="BB235" s="33"/>
      <c r="BC235" s="125"/>
    </row>
    <row r="236" spans="1:55" s="129" customFormat="1" ht="12.75" customHeight="1" thickBot="1">
      <c r="A236" s="89" t="s">
        <v>154</v>
      </c>
      <c r="B236" s="82"/>
      <c r="C236" s="92"/>
      <c r="D236" s="344">
        <f t="shared" ref="D236:U236" si="220">IFERROR($D199*MAX($C192-$E199,0)/$C192*D192/D192,0)+IFERROR((1-$D199)*$E199/$C192*D192/D192,0)</f>
        <v>0</v>
      </c>
      <c r="E236" s="344">
        <f t="shared" si="220"/>
        <v>0</v>
      </c>
      <c r="F236" s="344">
        <f t="shared" si="220"/>
        <v>0</v>
      </c>
      <c r="G236" s="344">
        <f t="shared" si="220"/>
        <v>0</v>
      </c>
      <c r="H236" s="344">
        <f t="shared" si="220"/>
        <v>0</v>
      </c>
      <c r="I236" s="344">
        <f t="shared" si="220"/>
        <v>0</v>
      </c>
      <c r="J236" s="344">
        <f t="shared" si="220"/>
        <v>0</v>
      </c>
      <c r="K236" s="344">
        <f t="shared" si="220"/>
        <v>0</v>
      </c>
      <c r="L236" s="344">
        <f t="shared" si="220"/>
        <v>0</v>
      </c>
      <c r="M236" s="344">
        <f t="shared" si="220"/>
        <v>0</v>
      </c>
      <c r="N236" s="344">
        <f t="shared" si="220"/>
        <v>0</v>
      </c>
      <c r="O236" s="344">
        <f t="shared" si="220"/>
        <v>0</v>
      </c>
      <c r="P236" s="344">
        <f t="shared" si="220"/>
        <v>0</v>
      </c>
      <c r="Q236" s="344">
        <f t="shared" si="220"/>
        <v>0</v>
      </c>
      <c r="R236" s="344">
        <f t="shared" si="220"/>
        <v>0</v>
      </c>
      <c r="S236" s="344">
        <f t="shared" si="220"/>
        <v>1</v>
      </c>
      <c r="T236" s="344">
        <f t="shared" si="220"/>
        <v>0</v>
      </c>
      <c r="U236" s="344">
        <f t="shared" si="220"/>
        <v>0</v>
      </c>
      <c r="V236" s="5"/>
      <c r="W236" s="5"/>
      <c r="X236" s="177"/>
      <c r="Y236" s="33"/>
      <c r="Z236" s="33"/>
      <c r="AA236" s="33"/>
      <c r="AB236" s="33"/>
      <c r="AC236" s="33"/>
      <c r="AD236" s="33"/>
      <c r="AE236" s="33"/>
      <c r="AF236" s="33"/>
      <c r="AG236" s="33"/>
      <c r="AH236" s="33"/>
      <c r="AI236" s="33"/>
      <c r="AJ236" s="33"/>
      <c r="AK236" s="33"/>
      <c r="AL236" s="33"/>
      <c r="AM236" s="33"/>
      <c r="AN236" s="33"/>
      <c r="AO236" s="33"/>
      <c r="AP236" s="33"/>
      <c r="AQ236" s="33"/>
      <c r="AR236" s="33"/>
      <c r="AS236" s="33"/>
      <c r="AT236" s="33"/>
      <c r="AU236" s="33"/>
      <c r="AV236" s="33"/>
      <c r="AW236" s="33"/>
      <c r="AX236" s="33"/>
      <c r="AY236" s="33"/>
      <c r="AZ236" s="33"/>
      <c r="BA236" s="33"/>
      <c r="BB236" s="33"/>
      <c r="BC236" s="125"/>
    </row>
    <row r="237" spans="1:55" s="129" customFormat="1" ht="12.75" customHeight="1">
      <c r="A237" s="321" t="s">
        <v>184</v>
      </c>
      <c r="B237" s="82"/>
      <c r="C237" s="92"/>
      <c r="D237" s="338">
        <f t="shared" ref="D237:U237" ca="1" si="221">IFERROR(D186/SUM($C$186:$C$192),0)</f>
        <v>3.3185840707964605E-2</v>
      </c>
      <c r="E237" s="338">
        <f t="shared" ca="1" si="221"/>
        <v>0</v>
      </c>
      <c r="F237" s="338">
        <f t="shared" ca="1" si="221"/>
        <v>0</v>
      </c>
      <c r="G237" s="338">
        <f t="shared" ca="1" si="221"/>
        <v>0</v>
      </c>
      <c r="H237" s="338">
        <f t="shared" ca="1" si="221"/>
        <v>1.1061946902654867E-2</v>
      </c>
      <c r="I237" s="338">
        <f t="shared" ca="1" si="221"/>
        <v>0</v>
      </c>
      <c r="J237" s="338">
        <f t="shared" ca="1" si="221"/>
        <v>0</v>
      </c>
      <c r="K237" s="338">
        <f t="shared" ca="1" si="221"/>
        <v>0</v>
      </c>
      <c r="L237" s="338">
        <f t="shared" ca="1" si="221"/>
        <v>0</v>
      </c>
      <c r="M237" s="338">
        <f t="shared" ca="1" si="221"/>
        <v>9.5132743362831854E-2</v>
      </c>
      <c r="N237" s="338">
        <f t="shared" ca="1" si="221"/>
        <v>0</v>
      </c>
      <c r="O237" s="338">
        <f t="shared" ca="1" si="221"/>
        <v>0</v>
      </c>
      <c r="P237" s="338">
        <f t="shared" ca="1" si="221"/>
        <v>0</v>
      </c>
      <c r="Q237" s="338">
        <f t="shared" ca="1" si="221"/>
        <v>5.5309734513274339E-2</v>
      </c>
      <c r="R237" s="338">
        <f t="shared" ca="1" si="221"/>
        <v>0</v>
      </c>
      <c r="S237" s="338">
        <f t="shared" ca="1" si="221"/>
        <v>0</v>
      </c>
      <c r="T237" s="338">
        <f t="shared" ca="1" si="221"/>
        <v>0</v>
      </c>
      <c r="U237" s="338">
        <f t="shared" ca="1" si="221"/>
        <v>0</v>
      </c>
      <c r="V237" s="5"/>
      <c r="W237" s="5"/>
      <c r="X237" s="177"/>
      <c r="Y237" s="33"/>
      <c r="Z237" s="33"/>
      <c r="AA237" s="33"/>
      <c r="AB237" s="33"/>
      <c r="AC237" s="33"/>
      <c r="AD237" s="33"/>
      <c r="AE237" s="33"/>
      <c r="AF237" s="33"/>
      <c r="AG237" s="33"/>
      <c r="AH237" s="33"/>
      <c r="AI237" s="33"/>
      <c r="AJ237" s="33"/>
      <c r="AK237" s="33"/>
      <c r="AL237" s="33"/>
      <c r="AM237" s="33"/>
      <c r="AN237" s="33"/>
      <c r="AO237" s="33"/>
      <c r="AP237" s="33"/>
      <c r="AQ237" s="33"/>
      <c r="AR237" s="33"/>
      <c r="AS237" s="33"/>
      <c r="AT237" s="33"/>
      <c r="AU237" s="33"/>
      <c r="AV237" s="33"/>
      <c r="AW237" s="33"/>
      <c r="AX237" s="33"/>
      <c r="AY237" s="33"/>
      <c r="AZ237" s="33"/>
      <c r="BA237" s="33"/>
      <c r="BB237" s="33"/>
      <c r="BC237" s="125"/>
    </row>
    <row r="238" spans="1:55" s="129" customFormat="1" ht="12.75" customHeight="1">
      <c r="A238" s="342" t="s">
        <v>184</v>
      </c>
      <c r="B238" s="82"/>
      <c r="C238" s="92"/>
      <c r="D238" s="339">
        <f t="shared" ref="D238:U238" ca="1" si="222">IFERROR(D187/SUM($C$186:$C$192),0)</f>
        <v>0</v>
      </c>
      <c r="E238" s="339">
        <f t="shared" ca="1" si="222"/>
        <v>3.3185840707964605E-2</v>
      </c>
      <c r="F238" s="339">
        <f t="shared" ca="1" si="222"/>
        <v>0</v>
      </c>
      <c r="G238" s="339">
        <f t="shared" ca="1" si="222"/>
        <v>0</v>
      </c>
      <c r="H238" s="339">
        <f t="shared" ca="1" si="222"/>
        <v>0</v>
      </c>
      <c r="I238" s="339">
        <f t="shared" ca="1" si="222"/>
        <v>1.1061946902654867E-2</v>
      </c>
      <c r="J238" s="339">
        <f t="shared" ca="1" si="222"/>
        <v>0</v>
      </c>
      <c r="K238" s="339">
        <f t="shared" ca="1" si="222"/>
        <v>0</v>
      </c>
      <c r="L238" s="339">
        <f t="shared" ca="1" si="222"/>
        <v>0</v>
      </c>
      <c r="M238" s="339">
        <f t="shared" ca="1" si="222"/>
        <v>0</v>
      </c>
      <c r="N238" s="339">
        <f t="shared" ca="1" si="222"/>
        <v>2.2123893805309734E-2</v>
      </c>
      <c r="O238" s="339">
        <f t="shared" ca="1" si="222"/>
        <v>0</v>
      </c>
      <c r="P238" s="339">
        <f t="shared" ca="1" si="222"/>
        <v>0</v>
      </c>
      <c r="Q238" s="339">
        <f t="shared" ca="1" si="222"/>
        <v>0</v>
      </c>
      <c r="R238" s="339">
        <f t="shared" ca="1" si="222"/>
        <v>0</v>
      </c>
      <c r="S238" s="339">
        <f t="shared" ca="1" si="222"/>
        <v>0</v>
      </c>
      <c r="T238" s="339">
        <f t="shared" ca="1" si="222"/>
        <v>0</v>
      </c>
      <c r="U238" s="339">
        <f t="shared" ca="1" si="222"/>
        <v>0</v>
      </c>
      <c r="V238" s="5"/>
      <c r="W238" s="5"/>
      <c r="X238" s="177"/>
      <c r="Y238" s="33"/>
      <c r="Z238" s="33"/>
      <c r="AA238" s="33"/>
      <c r="AB238" s="33"/>
      <c r="AC238" s="33"/>
      <c r="AD238" s="33"/>
      <c r="AE238" s="33"/>
      <c r="AF238" s="33"/>
      <c r="AG238" s="33"/>
      <c r="AH238" s="33"/>
      <c r="AI238" s="33"/>
      <c r="AJ238" s="33"/>
      <c r="AK238" s="33"/>
      <c r="AL238" s="33"/>
      <c r="AM238" s="33"/>
      <c r="AN238" s="33"/>
      <c r="AO238" s="33"/>
      <c r="AP238" s="33"/>
      <c r="AQ238" s="33"/>
      <c r="AR238" s="33"/>
      <c r="AS238" s="33"/>
      <c r="AT238" s="33"/>
      <c r="AU238" s="33"/>
      <c r="AV238" s="33"/>
      <c r="AW238" s="33"/>
      <c r="AX238" s="33"/>
      <c r="AY238" s="33"/>
      <c r="AZ238" s="33"/>
      <c r="BA238" s="33"/>
      <c r="BB238" s="33"/>
      <c r="BC238" s="125"/>
    </row>
    <row r="239" spans="1:55" s="129" customFormat="1" ht="12.75" customHeight="1">
      <c r="A239" s="342" t="s">
        <v>184</v>
      </c>
      <c r="B239" s="82"/>
      <c r="C239" s="92"/>
      <c r="D239" s="339">
        <f t="shared" ref="D239:U239" ca="1" si="223">IFERROR(D188/SUM($C$186:$C$192),0)</f>
        <v>0</v>
      </c>
      <c r="E239" s="339">
        <f t="shared" ca="1" si="223"/>
        <v>0</v>
      </c>
      <c r="F239" s="339">
        <f t="shared" ca="1" si="223"/>
        <v>4.4247787610619468E-2</v>
      </c>
      <c r="G239" s="339">
        <f t="shared" ca="1" si="223"/>
        <v>0</v>
      </c>
      <c r="H239" s="339">
        <f t="shared" ca="1" si="223"/>
        <v>0</v>
      </c>
      <c r="I239" s="339">
        <f t="shared" ca="1" si="223"/>
        <v>0</v>
      </c>
      <c r="J239" s="339">
        <f t="shared" ca="1" si="223"/>
        <v>4.6460176991150445E-2</v>
      </c>
      <c r="K239" s="339">
        <f t="shared" ca="1" si="223"/>
        <v>0</v>
      </c>
      <c r="L239" s="339">
        <f t="shared" ca="1" si="223"/>
        <v>0</v>
      </c>
      <c r="M239" s="339">
        <f t="shared" ca="1" si="223"/>
        <v>0</v>
      </c>
      <c r="N239" s="339">
        <f t="shared" ca="1" si="223"/>
        <v>0</v>
      </c>
      <c r="O239" s="339">
        <f t="shared" ca="1" si="223"/>
        <v>0</v>
      </c>
      <c r="P239" s="339">
        <f t="shared" ca="1" si="223"/>
        <v>9.5132743362831854E-2</v>
      </c>
      <c r="Q239" s="339">
        <f t="shared" ca="1" si="223"/>
        <v>0</v>
      </c>
      <c r="R239" s="339">
        <f t="shared" ca="1" si="223"/>
        <v>0</v>
      </c>
      <c r="S239" s="339">
        <f t="shared" ca="1" si="223"/>
        <v>0</v>
      </c>
      <c r="T239" s="339">
        <f t="shared" ca="1" si="223"/>
        <v>0</v>
      </c>
      <c r="U239" s="339">
        <f t="shared" ca="1" si="223"/>
        <v>0</v>
      </c>
      <c r="V239" s="5"/>
      <c r="W239" s="5"/>
      <c r="X239" s="177"/>
      <c r="Y239" s="33"/>
      <c r="Z239" s="33"/>
      <c r="AA239" s="33"/>
      <c r="AB239" s="33"/>
      <c r="AC239" s="33"/>
      <c r="AD239" s="33"/>
      <c r="AE239" s="33"/>
      <c r="AF239" s="33"/>
      <c r="AG239" s="33"/>
      <c r="AH239" s="33"/>
      <c r="AI239" s="33"/>
      <c r="AJ239" s="33"/>
      <c r="AK239" s="33"/>
      <c r="AL239" s="33"/>
      <c r="AM239" s="33"/>
      <c r="AN239" s="33"/>
      <c r="AO239" s="33"/>
      <c r="AP239" s="33"/>
      <c r="AQ239" s="33"/>
      <c r="AR239" s="33"/>
      <c r="AS239" s="33"/>
      <c r="AT239" s="33"/>
      <c r="AU239" s="33"/>
      <c r="AV239" s="33"/>
      <c r="AW239" s="33"/>
      <c r="AX239" s="33"/>
      <c r="AY239" s="33"/>
      <c r="AZ239" s="33"/>
      <c r="BA239" s="33"/>
      <c r="BB239" s="33"/>
      <c r="BC239" s="125"/>
    </row>
    <row r="240" spans="1:55" s="129" customFormat="1" ht="12.75" customHeight="1">
      <c r="A240" s="342" t="s">
        <v>184</v>
      </c>
      <c r="B240" s="82"/>
      <c r="C240" s="92"/>
      <c r="D240" s="339">
        <f t="shared" ref="D240:U240" ca="1" si="224">IFERROR(D189/SUM($C$186:$C$192),0)</f>
        <v>0</v>
      </c>
      <c r="E240" s="339">
        <f t="shared" ca="1" si="224"/>
        <v>0</v>
      </c>
      <c r="F240" s="339">
        <f t="shared" ca="1" si="224"/>
        <v>0</v>
      </c>
      <c r="G240" s="339">
        <f t="shared" ca="1" si="224"/>
        <v>9.5132743362831854E-2</v>
      </c>
      <c r="H240" s="339">
        <f t="shared" ca="1" si="224"/>
        <v>0</v>
      </c>
      <c r="I240" s="339">
        <f t="shared" ca="1" si="224"/>
        <v>0</v>
      </c>
      <c r="J240" s="339">
        <f t="shared" ca="1" si="224"/>
        <v>0</v>
      </c>
      <c r="K240" s="339">
        <f t="shared" ca="1" si="224"/>
        <v>9.5132743362831854E-2</v>
      </c>
      <c r="L240" s="339">
        <f t="shared" ca="1" si="224"/>
        <v>0</v>
      </c>
      <c r="M240" s="339">
        <f t="shared" ca="1" si="224"/>
        <v>0</v>
      </c>
      <c r="N240" s="339">
        <f t="shared" ca="1" si="224"/>
        <v>0</v>
      </c>
      <c r="O240" s="339">
        <f t="shared" ca="1" si="224"/>
        <v>9.5132743362831854E-2</v>
      </c>
      <c r="P240" s="339">
        <f t="shared" ca="1" si="224"/>
        <v>0</v>
      </c>
      <c r="Q240" s="339">
        <f t="shared" ca="1" si="224"/>
        <v>0</v>
      </c>
      <c r="R240" s="339">
        <f t="shared" ca="1" si="224"/>
        <v>9.5132743362831854E-2</v>
      </c>
      <c r="S240" s="339">
        <f t="shared" ca="1" si="224"/>
        <v>0</v>
      </c>
      <c r="T240" s="339">
        <f t="shared" ca="1" si="224"/>
        <v>0</v>
      </c>
      <c r="U240" s="339">
        <f t="shared" ca="1" si="224"/>
        <v>0</v>
      </c>
      <c r="V240" s="5"/>
      <c r="W240" s="5"/>
      <c r="X240" s="177"/>
      <c r="Y240" s="33"/>
      <c r="Z240" s="33"/>
      <c r="AA240" s="33"/>
      <c r="AB240" s="33"/>
      <c r="AC240" s="33"/>
      <c r="AD240" s="33"/>
      <c r="AE240" s="33"/>
      <c r="AF240" s="33"/>
      <c r="AG240" s="33"/>
      <c r="AH240" s="33"/>
      <c r="AI240" s="33"/>
      <c r="AJ240" s="33"/>
      <c r="AK240" s="33"/>
      <c r="AL240" s="33"/>
      <c r="AM240" s="33"/>
      <c r="AN240" s="33"/>
      <c r="AO240" s="33"/>
      <c r="AP240" s="33"/>
      <c r="AQ240" s="33"/>
      <c r="AR240" s="33"/>
      <c r="AS240" s="33"/>
      <c r="AT240" s="33"/>
      <c r="AU240" s="33"/>
      <c r="AV240" s="33"/>
      <c r="AW240" s="33"/>
      <c r="AX240" s="33"/>
      <c r="AY240" s="33"/>
      <c r="AZ240" s="33"/>
      <c r="BA240" s="33"/>
      <c r="BB240" s="33"/>
      <c r="BC240" s="125"/>
    </row>
    <row r="241" spans="1:55" s="129" customFormat="1" ht="12.75" customHeight="1">
      <c r="A241" s="342" t="s">
        <v>184</v>
      </c>
      <c r="B241" s="82"/>
      <c r="C241" s="92"/>
      <c r="D241" s="339">
        <f t="shared" ref="D241:U241" ca="1" si="225">IFERROR(D190/SUM($C$186:$C$192),0)</f>
        <v>0</v>
      </c>
      <c r="E241" s="339">
        <f t="shared" ca="1" si="225"/>
        <v>0</v>
      </c>
      <c r="F241" s="339">
        <f t="shared" ca="1" si="225"/>
        <v>0</v>
      </c>
      <c r="G241" s="339">
        <f t="shared" ca="1" si="225"/>
        <v>0</v>
      </c>
      <c r="H241" s="339">
        <f t="shared" ca="1" si="225"/>
        <v>0</v>
      </c>
      <c r="I241" s="339">
        <f t="shared" ca="1" si="225"/>
        <v>0</v>
      </c>
      <c r="J241" s="339">
        <f t="shared" ca="1" si="225"/>
        <v>0</v>
      </c>
      <c r="K241" s="339">
        <f t="shared" ca="1" si="225"/>
        <v>0</v>
      </c>
      <c r="L241" s="339">
        <f t="shared" ca="1" si="225"/>
        <v>0</v>
      </c>
      <c r="M241" s="339">
        <f t="shared" ca="1" si="225"/>
        <v>0</v>
      </c>
      <c r="N241" s="339">
        <f t="shared" ca="1" si="225"/>
        <v>0</v>
      </c>
      <c r="O241" s="339">
        <f t="shared" ca="1" si="225"/>
        <v>0</v>
      </c>
      <c r="P241" s="339">
        <f t="shared" ca="1" si="225"/>
        <v>0</v>
      </c>
      <c r="Q241" s="339">
        <f t="shared" ca="1" si="225"/>
        <v>0</v>
      </c>
      <c r="R241" s="339">
        <f t="shared" ca="1" si="225"/>
        <v>0</v>
      </c>
      <c r="S241" s="339">
        <f t="shared" ca="1" si="225"/>
        <v>0</v>
      </c>
      <c r="T241" s="339">
        <f t="shared" ca="1" si="225"/>
        <v>1.1061946902654867E-2</v>
      </c>
      <c r="U241" s="339">
        <f t="shared" ca="1" si="225"/>
        <v>0</v>
      </c>
      <c r="V241" s="5"/>
      <c r="W241" s="5"/>
      <c r="X241" s="177"/>
      <c r="Y241" s="33"/>
      <c r="Z241" s="33"/>
      <c r="AA241" s="33"/>
      <c r="AB241" s="33"/>
      <c r="AC241" s="33"/>
      <c r="AD241" s="33"/>
      <c r="AE241" s="33"/>
      <c r="AF241" s="33"/>
      <c r="AG241" s="33"/>
      <c r="AH241" s="33"/>
      <c r="AI241" s="33"/>
      <c r="AJ241" s="33"/>
      <c r="AK241" s="33"/>
      <c r="AL241" s="33"/>
      <c r="AM241" s="33"/>
      <c r="AN241" s="33"/>
      <c r="AO241" s="33"/>
      <c r="AP241" s="33"/>
      <c r="AQ241" s="33"/>
      <c r="AR241" s="33"/>
      <c r="AS241" s="33"/>
      <c r="AT241" s="33"/>
      <c r="AU241" s="33"/>
      <c r="AV241" s="33"/>
      <c r="AW241" s="33"/>
      <c r="AX241" s="33"/>
      <c r="AY241" s="33"/>
      <c r="AZ241" s="33"/>
      <c r="BA241" s="33"/>
      <c r="BB241" s="33"/>
      <c r="BC241" s="125"/>
    </row>
    <row r="242" spans="1:55" s="129" customFormat="1" ht="12.75" customHeight="1">
      <c r="A242" s="269" t="s">
        <v>184</v>
      </c>
      <c r="B242" s="82"/>
      <c r="C242" s="92"/>
      <c r="D242" s="343">
        <f t="shared" ref="D242:U242" ca="1" si="226">IFERROR(D191/SUM($C$186:$C$192),0)</f>
        <v>0</v>
      </c>
      <c r="E242" s="343">
        <f t="shared" ca="1" si="226"/>
        <v>0</v>
      </c>
      <c r="F242" s="343">
        <f t="shared" ca="1" si="226"/>
        <v>0</v>
      </c>
      <c r="G242" s="343">
        <f t="shared" ca="1" si="226"/>
        <v>0</v>
      </c>
      <c r="H242" s="343">
        <f t="shared" ca="1" si="226"/>
        <v>0</v>
      </c>
      <c r="I242" s="343">
        <f t="shared" ca="1" si="226"/>
        <v>0</v>
      </c>
      <c r="J242" s="343">
        <f t="shared" ca="1" si="226"/>
        <v>0</v>
      </c>
      <c r="K242" s="343">
        <f t="shared" ca="1" si="226"/>
        <v>0</v>
      </c>
      <c r="L242" s="343">
        <f t="shared" ca="1" si="226"/>
        <v>5.5309734513274339E-2</v>
      </c>
      <c r="M242" s="343">
        <f t="shared" ca="1" si="226"/>
        <v>0</v>
      </c>
      <c r="N242" s="343">
        <f t="shared" ca="1" si="226"/>
        <v>0</v>
      </c>
      <c r="O242" s="343">
        <f t="shared" ca="1" si="226"/>
        <v>0</v>
      </c>
      <c r="P242" s="343">
        <f t="shared" ca="1" si="226"/>
        <v>0</v>
      </c>
      <c r="Q242" s="343">
        <f t="shared" ca="1" si="226"/>
        <v>0</v>
      </c>
      <c r="R242" s="343">
        <f t="shared" ca="1" si="226"/>
        <v>0</v>
      </c>
      <c r="S242" s="343">
        <f t="shared" ca="1" si="226"/>
        <v>0</v>
      </c>
      <c r="T242" s="343">
        <f t="shared" ca="1" si="226"/>
        <v>0</v>
      </c>
      <c r="U242" s="343">
        <f t="shared" ca="1" si="226"/>
        <v>9.5132743362831854E-2</v>
      </c>
      <c r="V242" s="5"/>
      <c r="W242" s="5"/>
      <c r="X242" s="177"/>
      <c r="Y242" s="33"/>
      <c r="Z242" s="33"/>
      <c r="AA242" s="33"/>
      <c r="AB242" s="33"/>
      <c r="AC242" s="33"/>
      <c r="AD242" s="33"/>
      <c r="AE242" s="33"/>
      <c r="AF242" s="33"/>
      <c r="AG242" s="33"/>
      <c r="AH242" s="33"/>
      <c r="AI242" s="33"/>
      <c r="AJ242" s="33"/>
      <c r="AK242" s="33"/>
      <c r="AL242" s="33"/>
      <c r="AM242" s="33"/>
      <c r="AN242" s="33"/>
      <c r="AO242" s="33"/>
      <c r="AP242" s="33"/>
      <c r="AQ242" s="33"/>
      <c r="AR242" s="33"/>
      <c r="AS242" s="33"/>
      <c r="AT242" s="33"/>
      <c r="AU242" s="33"/>
      <c r="AV242" s="33"/>
      <c r="AW242" s="33"/>
      <c r="AX242" s="33"/>
      <c r="AY242" s="33"/>
      <c r="AZ242" s="33"/>
      <c r="BA242" s="33"/>
      <c r="BB242" s="33"/>
      <c r="BC242" s="125"/>
    </row>
    <row r="243" spans="1:55" s="129" customFormat="1" ht="12.75" customHeight="1" thickBot="1">
      <c r="A243" s="89" t="s">
        <v>184</v>
      </c>
      <c r="B243" s="82"/>
      <c r="C243" s="168"/>
      <c r="D243" s="344">
        <f t="shared" ref="D243:U243" ca="1" si="227">IFERROR(D192/SUM($C$186:$C$192),0)</f>
        <v>0</v>
      </c>
      <c r="E243" s="344">
        <f t="shared" ca="1" si="227"/>
        <v>0</v>
      </c>
      <c r="F243" s="344">
        <f t="shared" ca="1" si="227"/>
        <v>0</v>
      </c>
      <c r="G243" s="344">
        <f t="shared" ca="1" si="227"/>
        <v>0</v>
      </c>
      <c r="H243" s="344">
        <f t="shared" ca="1" si="227"/>
        <v>0</v>
      </c>
      <c r="I243" s="344">
        <f t="shared" ca="1" si="227"/>
        <v>0</v>
      </c>
      <c r="J243" s="344">
        <f t="shared" ca="1" si="227"/>
        <v>0</v>
      </c>
      <c r="K243" s="344">
        <f t="shared" ca="1" si="227"/>
        <v>0</v>
      </c>
      <c r="L243" s="344">
        <f t="shared" ca="1" si="227"/>
        <v>0</v>
      </c>
      <c r="M243" s="344">
        <f t="shared" ca="1" si="227"/>
        <v>0</v>
      </c>
      <c r="N243" s="344">
        <f t="shared" ca="1" si="227"/>
        <v>0</v>
      </c>
      <c r="O243" s="344">
        <f t="shared" ca="1" si="227"/>
        <v>0</v>
      </c>
      <c r="P243" s="344">
        <f t="shared" ca="1" si="227"/>
        <v>0</v>
      </c>
      <c r="Q243" s="344">
        <f t="shared" ca="1" si="227"/>
        <v>0</v>
      </c>
      <c r="R243" s="344">
        <f t="shared" ca="1" si="227"/>
        <v>0</v>
      </c>
      <c r="S243" s="344">
        <f t="shared" ca="1" si="227"/>
        <v>1.1061946902654867E-2</v>
      </c>
      <c r="T243" s="344">
        <f t="shared" ca="1" si="227"/>
        <v>0</v>
      </c>
      <c r="U243" s="344">
        <f t="shared" ca="1" si="227"/>
        <v>0</v>
      </c>
      <c r="V243" s="5"/>
      <c r="W243" s="5"/>
      <c r="X243" s="177"/>
      <c r="Y243" s="33"/>
      <c r="Z243" s="33"/>
      <c r="AA243" s="33"/>
      <c r="AB243" s="33"/>
      <c r="AC243" s="33"/>
      <c r="AD243" s="33"/>
      <c r="AE243" s="33"/>
      <c r="AF243" s="33"/>
      <c r="AG243" s="33"/>
      <c r="AH243" s="33"/>
      <c r="AI243" s="33"/>
      <c r="AJ243" s="33"/>
      <c r="AK243" s="33"/>
      <c r="AL243" s="33"/>
      <c r="AM243" s="33"/>
      <c r="AN243" s="33"/>
      <c r="AO243" s="33"/>
      <c r="AP243" s="33"/>
      <c r="AQ243" s="33"/>
      <c r="AR243" s="33"/>
      <c r="AS243" s="33"/>
      <c r="AT243" s="33"/>
      <c r="AU243" s="33"/>
      <c r="AV243" s="33"/>
      <c r="AW243" s="33"/>
      <c r="AX243" s="33"/>
      <c r="AY243" s="33"/>
      <c r="AZ243" s="33"/>
      <c r="BA243" s="33"/>
      <c r="BB243" s="33"/>
      <c r="BC243" s="125"/>
    </row>
    <row r="244" spans="1:55" s="129" customFormat="1" ht="12" customHeight="1">
      <c r="A244" s="84" t="s">
        <v>78</v>
      </c>
      <c r="B244" s="82"/>
      <c r="C244" s="337" t="s">
        <v>51</v>
      </c>
      <c r="D244" s="329">
        <v>384</v>
      </c>
      <c r="E244" s="329">
        <v>384</v>
      </c>
      <c r="F244" s="329">
        <v>384</v>
      </c>
      <c r="G244" s="329">
        <v>384</v>
      </c>
      <c r="H244" s="329">
        <v>384</v>
      </c>
      <c r="I244" s="329">
        <v>384</v>
      </c>
      <c r="J244" s="329">
        <v>384</v>
      </c>
      <c r="K244" s="329">
        <v>384</v>
      </c>
      <c r="L244" s="329">
        <v>384</v>
      </c>
      <c r="M244" s="329">
        <v>384</v>
      </c>
      <c r="N244" s="329">
        <v>384</v>
      </c>
      <c r="O244" s="329">
        <v>384</v>
      </c>
      <c r="P244" s="329">
        <v>384</v>
      </c>
      <c r="Q244" s="329">
        <v>384</v>
      </c>
      <c r="R244" s="329">
        <v>384</v>
      </c>
      <c r="S244" s="329">
        <v>384</v>
      </c>
      <c r="T244" s="329">
        <v>384</v>
      </c>
      <c r="U244" s="329">
        <v>384</v>
      </c>
      <c r="V244" s="170"/>
      <c r="W244" s="170"/>
      <c r="X244" s="177"/>
      <c r="Y244" s="33"/>
      <c r="Z244" s="33"/>
      <c r="AA244" s="33"/>
      <c r="AB244" s="33"/>
      <c r="AC244" s="33"/>
      <c r="AD244" s="33"/>
      <c r="AE244" s="33"/>
      <c r="AF244" s="33"/>
      <c r="AG244" s="33"/>
      <c r="AH244" s="33"/>
      <c r="AI244" s="33"/>
      <c r="AJ244" s="33"/>
      <c r="AK244" s="33"/>
      <c r="AL244" s="33"/>
      <c r="AM244" s="33"/>
      <c r="AN244" s="33"/>
      <c r="AO244" s="33"/>
      <c r="AP244" s="33"/>
      <c r="AQ244" s="33"/>
      <c r="AR244" s="33"/>
      <c r="AS244" s="33"/>
      <c r="AT244" s="33"/>
      <c r="AU244" s="33"/>
      <c r="AV244" s="33"/>
      <c r="AW244" s="33"/>
      <c r="AX244" s="33"/>
      <c r="AY244" s="33"/>
      <c r="AZ244" s="33"/>
      <c r="BA244" s="33"/>
      <c r="BB244" s="33"/>
      <c r="BC244" s="33"/>
    </row>
    <row r="245" spans="1:55" s="129" customFormat="1" ht="12" customHeight="1">
      <c r="A245" s="148" t="s">
        <v>123</v>
      </c>
      <c r="B245" s="82"/>
      <c r="C245" s="121" t="s">
        <v>51</v>
      </c>
      <c r="D245" s="298">
        <f>D244*0.9</f>
        <v>345.6</v>
      </c>
      <c r="E245" s="298">
        <f>E244*0.9</f>
        <v>345.6</v>
      </c>
      <c r="F245" s="298">
        <f t="shared" ref="F245:U245" si="228">F244*0.9</f>
        <v>345.6</v>
      </c>
      <c r="G245" s="298">
        <f t="shared" si="228"/>
        <v>345.6</v>
      </c>
      <c r="H245" s="298">
        <f t="shared" si="228"/>
        <v>345.6</v>
      </c>
      <c r="I245" s="298">
        <f t="shared" ref="I245" si="229">I244*0.9</f>
        <v>345.6</v>
      </c>
      <c r="J245" s="298">
        <f t="shared" si="228"/>
        <v>345.6</v>
      </c>
      <c r="K245" s="298">
        <f t="shared" si="228"/>
        <v>345.6</v>
      </c>
      <c r="L245" s="298">
        <f t="shared" si="228"/>
        <v>345.6</v>
      </c>
      <c r="M245" s="298">
        <f t="shared" si="228"/>
        <v>345.6</v>
      </c>
      <c r="N245" s="298">
        <f t="shared" ref="N245" si="230">N244*0.9</f>
        <v>345.6</v>
      </c>
      <c r="O245" s="298">
        <f t="shared" si="228"/>
        <v>345.6</v>
      </c>
      <c r="P245" s="298">
        <f t="shared" si="228"/>
        <v>345.6</v>
      </c>
      <c r="Q245" s="298">
        <f t="shared" si="228"/>
        <v>345.6</v>
      </c>
      <c r="R245" s="298">
        <f t="shared" si="228"/>
        <v>345.6</v>
      </c>
      <c r="S245" s="298">
        <f t="shared" si="228"/>
        <v>345.6</v>
      </c>
      <c r="T245" s="298">
        <f t="shared" ref="T245" si="231">T244*0.9</f>
        <v>345.6</v>
      </c>
      <c r="U245" s="298">
        <f t="shared" si="228"/>
        <v>345.6</v>
      </c>
      <c r="V245" s="170"/>
      <c r="W245" s="170"/>
      <c r="X245" s="177"/>
      <c r="Y245" s="33"/>
      <c r="Z245" s="33"/>
      <c r="AA245" s="33"/>
      <c r="AB245" s="33"/>
      <c r="AC245" s="33"/>
      <c r="AD245" s="33"/>
      <c r="AE245" s="33"/>
      <c r="AF245" s="33"/>
      <c r="AG245" s="33"/>
      <c r="AH245" s="33"/>
      <c r="AI245" s="33"/>
      <c r="AJ245" s="33"/>
      <c r="AK245" s="33"/>
      <c r="AL245" s="33"/>
      <c r="AM245" s="33"/>
      <c r="AN245" s="33"/>
      <c r="AO245" s="33"/>
      <c r="AP245" s="33"/>
      <c r="AQ245" s="33"/>
      <c r="AR245" s="33"/>
      <c r="AS245" s="33"/>
      <c r="AT245" s="33"/>
      <c r="AU245" s="33"/>
      <c r="AV245" s="33"/>
      <c r="AW245" s="33"/>
      <c r="AX245" s="33"/>
      <c r="AY245" s="33"/>
      <c r="AZ245" s="33"/>
      <c r="BA245" s="33"/>
      <c r="BB245" s="33"/>
      <c r="BC245" s="33"/>
    </row>
    <row r="246" spans="1:55" s="129" customFormat="1" ht="12" customHeight="1">
      <c r="A246" s="150" t="s">
        <v>68</v>
      </c>
      <c r="B246" s="82"/>
      <c r="C246" s="92"/>
      <c r="D246" s="193">
        <f t="shared" ref="D246:U246" si="232">D183+D184-15</f>
        <v>52</v>
      </c>
      <c r="E246" s="193">
        <f t="shared" si="232"/>
        <v>52</v>
      </c>
      <c r="F246" s="193">
        <f t="shared" si="232"/>
        <v>52</v>
      </c>
      <c r="G246" s="193">
        <f t="shared" si="232"/>
        <v>52</v>
      </c>
      <c r="H246" s="193">
        <f t="shared" si="232"/>
        <v>52</v>
      </c>
      <c r="I246" s="193">
        <f t="shared" si="232"/>
        <v>52</v>
      </c>
      <c r="J246" s="193">
        <f t="shared" si="232"/>
        <v>52</v>
      </c>
      <c r="K246" s="193">
        <f t="shared" si="232"/>
        <v>52</v>
      </c>
      <c r="L246" s="193">
        <f t="shared" si="232"/>
        <v>52</v>
      </c>
      <c r="M246" s="193">
        <f t="shared" si="232"/>
        <v>52</v>
      </c>
      <c r="N246" s="193">
        <f t="shared" ref="N246" si="233">N183+N184-15</f>
        <v>52</v>
      </c>
      <c r="O246" s="193">
        <f t="shared" si="232"/>
        <v>52</v>
      </c>
      <c r="P246" s="193">
        <f t="shared" si="232"/>
        <v>52</v>
      </c>
      <c r="Q246" s="193">
        <f t="shared" si="232"/>
        <v>52</v>
      </c>
      <c r="R246" s="193">
        <f t="shared" si="232"/>
        <v>52</v>
      </c>
      <c r="S246" s="193">
        <f t="shared" si="232"/>
        <v>52</v>
      </c>
      <c r="T246" s="193">
        <f t="shared" si="232"/>
        <v>52</v>
      </c>
      <c r="U246" s="193">
        <f t="shared" si="232"/>
        <v>52</v>
      </c>
      <c r="V246" s="5"/>
      <c r="W246" s="5"/>
      <c r="X246" s="177"/>
      <c r="Y246" s="33"/>
      <c r="Z246" s="33"/>
      <c r="AA246" s="33"/>
      <c r="AB246" s="33"/>
      <c r="AC246" s="33"/>
      <c r="AD246" s="33"/>
      <c r="AE246" s="33"/>
      <c r="AF246" s="33"/>
      <c r="AG246" s="33"/>
      <c r="AH246" s="33"/>
      <c r="AI246" s="33"/>
      <c r="AJ246" s="33"/>
      <c r="AK246" s="33"/>
      <c r="AL246" s="33"/>
      <c r="AM246" s="33"/>
      <c r="AN246" s="33"/>
      <c r="AO246" s="33"/>
      <c r="AP246" s="33"/>
      <c r="AQ246" s="33"/>
      <c r="AR246" s="33"/>
      <c r="AS246" s="33"/>
      <c r="AT246" s="33"/>
      <c r="AU246" s="33"/>
      <c r="AV246" s="33"/>
      <c r="AW246" s="33"/>
      <c r="AX246" s="33"/>
      <c r="AY246" s="33"/>
      <c r="AZ246" s="33"/>
      <c r="BA246" s="33"/>
      <c r="BB246" s="33"/>
      <c r="BC246" s="33"/>
    </row>
    <row r="247" spans="1:55" s="129" customFormat="1" ht="12" customHeight="1">
      <c r="A247" s="153" t="s">
        <v>76</v>
      </c>
      <c r="B247" s="82"/>
      <c r="C247" s="121" t="s">
        <v>50</v>
      </c>
      <c r="D247" s="266">
        <f t="shared" ref="D247:U247" si="234">D246</f>
        <v>52</v>
      </c>
      <c r="E247" s="266">
        <f t="shared" ref="E247" si="235">E246</f>
        <v>52</v>
      </c>
      <c r="F247" s="266">
        <f t="shared" si="234"/>
        <v>52</v>
      </c>
      <c r="G247" s="266">
        <f t="shared" si="234"/>
        <v>52</v>
      </c>
      <c r="H247" s="266">
        <f t="shared" si="234"/>
        <v>52</v>
      </c>
      <c r="I247" s="266">
        <f t="shared" ref="I247" si="236">I246</f>
        <v>52</v>
      </c>
      <c r="J247" s="266">
        <f t="shared" si="234"/>
        <v>52</v>
      </c>
      <c r="K247" s="266">
        <f t="shared" si="234"/>
        <v>52</v>
      </c>
      <c r="L247" s="266">
        <f t="shared" si="234"/>
        <v>52</v>
      </c>
      <c r="M247" s="266">
        <f t="shared" si="234"/>
        <v>52</v>
      </c>
      <c r="N247" s="266">
        <f t="shared" ref="N247" si="237">N246</f>
        <v>52</v>
      </c>
      <c r="O247" s="266">
        <f t="shared" si="234"/>
        <v>52</v>
      </c>
      <c r="P247" s="266">
        <f t="shared" si="234"/>
        <v>52</v>
      </c>
      <c r="Q247" s="266">
        <f t="shared" si="234"/>
        <v>52</v>
      </c>
      <c r="R247" s="266">
        <f t="shared" si="234"/>
        <v>52</v>
      </c>
      <c r="S247" s="266">
        <f t="shared" si="234"/>
        <v>52</v>
      </c>
      <c r="T247" s="266">
        <f t="shared" ref="T247" si="238">T246</f>
        <v>52</v>
      </c>
      <c r="U247" s="266">
        <f t="shared" si="234"/>
        <v>52</v>
      </c>
      <c r="V247" s="5"/>
      <c r="W247" s="5"/>
      <c r="X247" s="177"/>
      <c r="Y247" s="33"/>
      <c r="Z247" s="33"/>
      <c r="AA247" s="33"/>
      <c r="AB247" s="33"/>
      <c r="AC247" s="33"/>
      <c r="AD247" s="33"/>
      <c r="AE247" s="33"/>
      <c r="AF247" s="33"/>
      <c r="AG247" s="33"/>
      <c r="AH247" s="33"/>
      <c r="AI247" s="33"/>
      <c r="AJ247" s="33"/>
      <c r="AK247" s="33"/>
      <c r="AL247" s="33"/>
      <c r="AM247" s="33"/>
      <c r="AN247" s="33"/>
      <c r="AO247" s="33"/>
      <c r="AP247" s="33"/>
      <c r="AQ247" s="33"/>
      <c r="AR247" s="33"/>
      <c r="AS247" s="33"/>
      <c r="AT247" s="33"/>
      <c r="AU247" s="33"/>
      <c r="AV247" s="33"/>
      <c r="AW247" s="33"/>
      <c r="AX247" s="33"/>
      <c r="AY247" s="33"/>
      <c r="AZ247" s="33"/>
      <c r="BA247" s="33"/>
      <c r="BB247" s="33"/>
      <c r="BC247" s="33"/>
    </row>
    <row r="248" spans="1:55" s="129" customFormat="1" ht="11.25" customHeight="1">
      <c r="A248" s="192" t="s">
        <v>212</v>
      </c>
      <c r="B248" s="82"/>
      <c r="C248" s="130"/>
      <c r="D248" s="193">
        <f>MIN((MIN("31/12/2015",D182)-MAX("1/7/1979",D181))/365,D185)</f>
        <v>15</v>
      </c>
      <c r="E248" s="193">
        <f t="shared" ref="E248:U248" si="239">MIN((MIN("31/12/2015",E182)-MAX("1/7/1979",E181))/365,E185)</f>
        <v>15</v>
      </c>
      <c r="F248" s="193">
        <f t="shared" si="239"/>
        <v>20</v>
      </c>
      <c r="G248" s="193">
        <f t="shared" si="239"/>
        <v>30.994520547945207</v>
      </c>
      <c r="H248" s="193">
        <f t="shared" si="239"/>
        <v>5</v>
      </c>
      <c r="I248" s="193">
        <f t="shared" si="239"/>
        <v>5</v>
      </c>
      <c r="J248" s="193">
        <f t="shared" si="239"/>
        <v>21</v>
      </c>
      <c r="K248" s="193">
        <f t="shared" si="239"/>
        <v>30.994520547945207</v>
      </c>
      <c r="L248" s="193">
        <f t="shared" si="239"/>
        <v>25</v>
      </c>
      <c r="M248" s="193">
        <f t="shared" si="239"/>
        <v>30.994520547945207</v>
      </c>
      <c r="N248" s="193">
        <f t="shared" ref="N248" si="240">MIN((MIN("31/12/2015",N182)-MAX("1/7/1979",N181))/365,N185)</f>
        <v>10</v>
      </c>
      <c r="O248" s="193">
        <f t="shared" si="239"/>
        <v>30.994520547945207</v>
      </c>
      <c r="P248" s="193">
        <f t="shared" si="239"/>
        <v>30.994520547945207</v>
      </c>
      <c r="Q248" s="193">
        <f t="shared" si="239"/>
        <v>25</v>
      </c>
      <c r="R248" s="193">
        <f t="shared" si="239"/>
        <v>30.994520547945207</v>
      </c>
      <c r="S248" s="193">
        <f t="shared" si="239"/>
        <v>5</v>
      </c>
      <c r="T248" s="193">
        <f t="shared" si="239"/>
        <v>5</v>
      </c>
      <c r="U248" s="193">
        <f t="shared" si="239"/>
        <v>30.994520547945207</v>
      </c>
      <c r="V248" s="5"/>
      <c r="W248" s="5"/>
      <c r="X248" s="177"/>
      <c r="Y248" s="33"/>
      <c r="Z248" s="33"/>
      <c r="AA248" s="33"/>
      <c r="AB248" s="33"/>
      <c r="AC248" s="33"/>
      <c r="AD248" s="33"/>
      <c r="AE248" s="33"/>
      <c r="AF248" s="33"/>
      <c r="AG248" s="33"/>
      <c r="AH248" s="33"/>
      <c r="AI248" s="33"/>
      <c r="AJ248" s="33"/>
      <c r="AK248" s="33"/>
      <c r="AL248" s="33"/>
      <c r="AM248" s="33"/>
      <c r="AN248" s="33"/>
      <c r="AO248" s="33"/>
      <c r="AP248" s="33"/>
      <c r="AQ248" s="33"/>
      <c r="AR248" s="33"/>
      <c r="AS248" s="33"/>
      <c r="AT248" s="33"/>
      <c r="AU248" s="33"/>
      <c r="AV248" s="33"/>
      <c r="AW248" s="33"/>
      <c r="AX248" s="33"/>
      <c r="AY248" s="33"/>
      <c r="AZ248" s="33"/>
      <c r="BA248" s="33"/>
      <c r="BB248" s="33"/>
      <c r="BC248" s="33"/>
    </row>
    <row r="249" spans="1:55" s="129" customFormat="1">
      <c r="A249" s="269" t="s">
        <v>213</v>
      </c>
      <c r="B249" s="82"/>
      <c r="C249" s="121" t="s">
        <v>50</v>
      </c>
      <c r="D249" s="266">
        <f>D248</f>
        <v>15</v>
      </c>
      <c r="E249" s="289">
        <v>0</v>
      </c>
      <c r="F249" s="289">
        <v>0</v>
      </c>
      <c r="G249" s="266">
        <f>G248</f>
        <v>30.994520547945207</v>
      </c>
      <c r="H249" s="266">
        <f t="shared" ref="H249:Q249" si="241">H248</f>
        <v>5</v>
      </c>
      <c r="I249" s="289">
        <v>0</v>
      </c>
      <c r="J249" s="289">
        <v>0</v>
      </c>
      <c r="K249" s="266">
        <f>K248</f>
        <v>30.994520547945207</v>
      </c>
      <c r="L249" s="289">
        <v>0</v>
      </c>
      <c r="M249" s="266">
        <f t="shared" si="241"/>
        <v>30.994520547945207</v>
      </c>
      <c r="N249" s="289">
        <v>0</v>
      </c>
      <c r="O249" s="266">
        <f>O248</f>
        <v>30.994520547945207</v>
      </c>
      <c r="P249" s="289">
        <v>0</v>
      </c>
      <c r="Q249" s="266">
        <f t="shared" si="241"/>
        <v>25</v>
      </c>
      <c r="R249" s="266">
        <f>R248</f>
        <v>30.994520547945207</v>
      </c>
      <c r="S249" s="289">
        <v>0</v>
      </c>
      <c r="T249" s="289">
        <v>0</v>
      </c>
      <c r="U249" s="289">
        <v>0</v>
      </c>
      <c r="V249" s="5"/>
      <c r="W249" s="5"/>
      <c r="X249" s="178"/>
      <c r="Y249" s="33"/>
      <c r="Z249" s="33"/>
      <c r="AA249" s="33"/>
      <c r="AB249" s="33"/>
      <c r="AC249" s="33"/>
      <c r="AD249" s="33"/>
      <c r="AE249" s="33"/>
      <c r="AF249" s="33"/>
      <c r="AG249" s="33"/>
      <c r="AH249" s="33"/>
      <c r="AI249" s="33"/>
      <c r="AJ249" s="33"/>
      <c r="AK249" s="33"/>
      <c r="AL249" s="33"/>
      <c r="AM249" s="33"/>
      <c r="AN249" s="33"/>
      <c r="AO249" s="33"/>
      <c r="AP249" s="33"/>
      <c r="AQ249" s="33"/>
      <c r="AR249" s="33"/>
      <c r="AS249" s="33"/>
      <c r="AT249" s="33"/>
      <c r="AU249" s="33"/>
      <c r="AV249" s="33"/>
      <c r="AW249" s="33"/>
      <c r="AX249" s="33"/>
      <c r="AY249" s="33"/>
      <c r="AZ249" s="33"/>
      <c r="BA249" s="33"/>
      <c r="BB249" s="33"/>
      <c r="BC249" s="33"/>
    </row>
    <row r="250" spans="1:55" s="129" customFormat="1" ht="12" customHeight="1">
      <c r="A250" s="94" t="s">
        <v>151</v>
      </c>
      <c r="B250" s="82"/>
      <c r="C250" s="92"/>
      <c r="D250" s="95">
        <f>VLOOKUP(TRUNC(D185,0),$B$299:$C$334,2,TRUE)+(D185-TRUNC(D185,0))*(VLOOKUP(D185,$B$299:$C$334,2,TRUE)-VLOOKUP(TRUNC(D185,0),$B$299:$C$334,2,TRUE))+IF(D185&lt;15,(D185-15)*VLOOKUP(D185,$B$299:$C$334,2,TRUE)/15,0)+0.001%</f>
        <v>0.11551</v>
      </c>
      <c r="E250" s="95">
        <f t="shared" ref="E250:U250" si="242">VLOOKUP(TRUNC(E185,0),$B$299:$C$334,2,TRUE)+(E185-TRUNC(E185,0))*(VLOOKUP(E185,$B$299:$C$334,2,TRUE)-VLOOKUP(TRUNC(E185,0),$B$299:$C$334,2,TRUE))+IF(E185&lt;15,(E185-15)*VLOOKUP(E185,$B$299:$C$334,2,TRUE)/15,0)+0.001%</f>
        <v>0.11551</v>
      </c>
      <c r="F250" s="95">
        <f t="shared" si="242"/>
        <v>0.15871000000000002</v>
      </c>
      <c r="G250" s="95">
        <f t="shared" si="242"/>
        <v>0.48801</v>
      </c>
      <c r="H250" s="95">
        <f t="shared" si="242"/>
        <v>3.851000000000001E-2</v>
      </c>
      <c r="I250" s="95">
        <f t="shared" si="242"/>
        <v>3.851000000000001E-2</v>
      </c>
      <c r="J250" s="95">
        <f t="shared" si="242"/>
        <v>0.16771</v>
      </c>
      <c r="K250" s="95">
        <f t="shared" si="242"/>
        <v>0.48801</v>
      </c>
      <c r="L250" s="95">
        <f t="shared" si="242"/>
        <v>0.20681000000000002</v>
      </c>
      <c r="M250" s="95">
        <f t="shared" si="242"/>
        <v>0.48801</v>
      </c>
      <c r="N250" s="95">
        <f t="shared" si="242"/>
        <v>7.7010000000000009E-2</v>
      </c>
      <c r="O250" s="95">
        <f t="shared" si="242"/>
        <v>0.48801</v>
      </c>
      <c r="P250" s="95">
        <f t="shared" si="242"/>
        <v>0.48801</v>
      </c>
      <c r="Q250" s="95">
        <f t="shared" si="242"/>
        <v>0.20681000000000002</v>
      </c>
      <c r="R250" s="95">
        <f t="shared" si="242"/>
        <v>0.48801</v>
      </c>
      <c r="S250" s="95">
        <f t="shared" si="242"/>
        <v>3.851000000000001E-2</v>
      </c>
      <c r="T250" s="95">
        <f t="shared" si="242"/>
        <v>3.851000000000001E-2</v>
      </c>
      <c r="U250" s="95">
        <f t="shared" si="242"/>
        <v>0.48801</v>
      </c>
      <c r="V250" s="5"/>
      <c r="W250" s="5"/>
      <c r="X250" s="177"/>
      <c r="Y250" s="33"/>
      <c r="Z250" s="33"/>
      <c r="AA250" s="33"/>
      <c r="AB250" s="33"/>
      <c r="AC250" s="33"/>
      <c r="AD250" s="33"/>
      <c r="AF250" s="33"/>
      <c r="AG250" s="33"/>
      <c r="AH250" s="33"/>
      <c r="AI250" s="33"/>
      <c r="AJ250" s="33"/>
      <c r="AK250" s="33"/>
      <c r="AL250" s="33"/>
      <c r="AM250" s="33"/>
      <c r="AN250" s="33"/>
      <c r="AO250" s="33"/>
      <c r="AP250" s="33"/>
      <c r="AQ250" s="33"/>
      <c r="AR250" s="33"/>
      <c r="AS250" s="33"/>
      <c r="AT250" s="33"/>
      <c r="AU250" s="33"/>
      <c r="AV250" s="33"/>
      <c r="AW250" s="33"/>
      <c r="AX250" s="33"/>
      <c r="AY250" s="33"/>
      <c r="AZ250" s="33"/>
      <c r="BA250" s="33"/>
      <c r="BB250" s="33"/>
      <c r="BC250" s="141"/>
    </row>
    <row r="251" spans="1:55" s="129" customFormat="1" ht="12" customHeight="1">
      <c r="A251" s="94" t="s">
        <v>146</v>
      </c>
      <c r="B251" s="82"/>
      <c r="C251" s="92"/>
      <c r="D251" s="95">
        <f>VLOOKUP(TRUNC(D200,0),$B$299:$C$334,2,TRUE)+(D200-TRUNC(D200,0))*(VLOOKUP(D200,$B$299:$C$334,2,TRUE)-VLOOKUP(TRUNC(D200,0),$B$299:$C$334,2,TRUE))+IF(D200&lt;15,(D200-15)*VLOOKUP(D200,$B$299:$C$334,2,TRUE)/15,0)+0.001%</f>
        <v>0.11551</v>
      </c>
      <c r="E251" s="95">
        <f t="shared" ref="E251:U251" si="243">VLOOKUP(TRUNC(E200,0),$B$299:$C$334,2,TRUE)+(E200-TRUNC(E200,0))*(VLOOKUP(E200,$B$299:$C$334,2,TRUE)-VLOOKUP(TRUNC(E200,0),$B$299:$C$334,2,TRUE))+IF(E200&lt;15,(E200-15)*VLOOKUP(E200,$B$299:$C$334,2,TRUE)/15,0)+0.001%</f>
        <v>0.11551</v>
      </c>
      <c r="F251" s="95">
        <f t="shared" si="243"/>
        <v>0.15871000000000002</v>
      </c>
      <c r="G251" s="95">
        <f t="shared" si="243"/>
        <v>0.48801</v>
      </c>
      <c r="H251" s="95">
        <f t="shared" si="243"/>
        <v>3.851000000000001E-2</v>
      </c>
      <c r="I251" s="95">
        <f t="shared" si="243"/>
        <v>3.851000000000001E-2</v>
      </c>
      <c r="J251" s="95">
        <f t="shared" si="243"/>
        <v>0.16771</v>
      </c>
      <c r="K251" s="95">
        <f t="shared" si="243"/>
        <v>0.48801</v>
      </c>
      <c r="L251" s="95">
        <f t="shared" si="243"/>
        <v>0.20681000000000002</v>
      </c>
      <c r="M251" s="95">
        <f t="shared" si="243"/>
        <v>0.48801</v>
      </c>
      <c r="N251" s="95">
        <f t="shared" si="243"/>
        <v>7.7010000000000009E-2</v>
      </c>
      <c r="O251" s="95">
        <f t="shared" si="243"/>
        <v>0.48801</v>
      </c>
      <c r="P251" s="95">
        <f t="shared" si="243"/>
        <v>0.48801</v>
      </c>
      <c r="Q251" s="95">
        <f t="shared" si="243"/>
        <v>0.20681000000000002</v>
      </c>
      <c r="R251" s="95">
        <f t="shared" si="243"/>
        <v>0.48801</v>
      </c>
      <c r="S251" s="95">
        <f t="shared" si="243"/>
        <v>3.851000000000001E-2</v>
      </c>
      <c r="T251" s="95">
        <f t="shared" si="243"/>
        <v>3.851000000000001E-2</v>
      </c>
      <c r="U251" s="95">
        <f t="shared" si="243"/>
        <v>0.48801</v>
      </c>
      <c r="V251" s="5"/>
      <c r="W251" s="5"/>
      <c r="X251" s="177"/>
      <c r="Y251" s="33"/>
      <c r="Z251" s="33"/>
      <c r="AA251" s="33"/>
      <c r="AB251" s="33"/>
      <c r="AC251" s="33"/>
      <c r="AD251" s="33"/>
      <c r="AF251" s="33"/>
      <c r="AG251" s="33"/>
      <c r="AH251" s="33"/>
      <c r="AI251" s="33"/>
      <c r="AJ251" s="33"/>
      <c r="AK251" s="33"/>
      <c r="AL251" s="33"/>
      <c r="AM251" s="33"/>
      <c r="AN251" s="33"/>
      <c r="AO251" s="33"/>
      <c r="AP251" s="33"/>
      <c r="AQ251" s="33"/>
      <c r="AR251" s="33"/>
      <c r="AS251" s="33"/>
      <c r="AT251" s="33"/>
      <c r="AU251" s="33"/>
      <c r="AV251" s="33"/>
      <c r="AW251" s="33"/>
      <c r="AX251" s="33"/>
      <c r="AY251" s="33"/>
      <c r="AZ251" s="33"/>
      <c r="BA251" s="33"/>
      <c r="BB251" s="33"/>
      <c r="BC251" s="141"/>
    </row>
    <row r="252" spans="1:55" s="129" customFormat="1" ht="12" customHeight="1">
      <c r="A252" s="94" t="s">
        <v>179</v>
      </c>
      <c r="B252" s="82"/>
      <c r="C252" s="92"/>
      <c r="D252" s="95">
        <f ca="1">SUM(D$186:D$192)*20*0.075%*SUM(D230:D236)</f>
        <v>0.12272727272727273</v>
      </c>
      <c r="E252" s="95">
        <f t="shared" ref="E252:U252" ca="1" si="244">SUM(E$186:E$192)*20*0.075%*SUM(E230:E236)</f>
        <v>3.7499999999999999E-2</v>
      </c>
      <c r="F252" s="95">
        <f t="shared" ca="1" si="244"/>
        <v>0.14642857142857141</v>
      </c>
      <c r="G252" s="95">
        <f t="shared" ca="1" si="244"/>
        <v>0</v>
      </c>
      <c r="H252" s="95">
        <f t="shared" ca="1" si="244"/>
        <v>4.0909090909090902E-2</v>
      </c>
      <c r="I252" s="95">
        <f t="shared" ca="1" si="244"/>
        <v>1.2499999999999999E-2</v>
      </c>
      <c r="J252" s="95">
        <f t="shared" ca="1" si="244"/>
        <v>0.15375</v>
      </c>
      <c r="K252" s="95">
        <f t="shared" ca="1" si="244"/>
        <v>0</v>
      </c>
      <c r="L252" s="95">
        <f t="shared" ca="1" si="244"/>
        <v>0.13786764705882354</v>
      </c>
      <c r="M252" s="95">
        <f t="shared" ca="1" si="244"/>
        <v>0.35181818181818181</v>
      </c>
      <c r="N252" s="95">
        <f t="shared" ca="1" si="244"/>
        <v>2.4999999999999998E-2</v>
      </c>
      <c r="O252" s="95">
        <f t="shared" ca="1" si="244"/>
        <v>0</v>
      </c>
      <c r="P252" s="95">
        <f t="shared" ca="1" si="244"/>
        <v>0.31482142857142859</v>
      </c>
      <c r="Q252" s="95">
        <f t="shared" ca="1" si="244"/>
        <v>0.20454545454545453</v>
      </c>
      <c r="R252" s="95">
        <f t="shared" ca="1" si="244"/>
        <v>0</v>
      </c>
      <c r="S252" s="95">
        <f t="shared" ca="1" si="244"/>
        <v>7.4999999999999997E-2</v>
      </c>
      <c r="T252" s="95">
        <f t="shared" ca="1" si="244"/>
        <v>7.4999999999999997E-2</v>
      </c>
      <c r="U252" s="95">
        <f t="shared" ca="1" si="244"/>
        <v>0.23713235294117649</v>
      </c>
      <c r="V252" s="5"/>
      <c r="W252" s="5"/>
      <c r="X252" s="177"/>
      <c r="Y252" s="33"/>
      <c r="Z252" s="33"/>
      <c r="AA252" s="33"/>
      <c r="AB252" s="33"/>
      <c r="AC252" s="33"/>
      <c r="AD252" s="33"/>
      <c r="AF252" s="33"/>
      <c r="AG252" s="33"/>
      <c r="AH252" s="33"/>
      <c r="AI252" s="33"/>
      <c r="AJ252" s="33"/>
      <c r="AK252" s="33"/>
      <c r="AL252" s="33"/>
      <c r="AM252" s="33"/>
      <c r="AN252" s="33"/>
      <c r="AO252" s="33"/>
      <c r="AP252" s="33"/>
      <c r="AQ252" s="33"/>
      <c r="AR252" s="33"/>
      <c r="AS252" s="33"/>
      <c r="AT252" s="33"/>
      <c r="AU252" s="33"/>
      <c r="AV252" s="33"/>
      <c r="AW252" s="33"/>
      <c r="AX252" s="33"/>
      <c r="AY252" s="33"/>
      <c r="AZ252" s="33"/>
      <c r="BA252" s="33"/>
      <c r="BB252" s="33"/>
      <c r="BC252" s="141"/>
    </row>
    <row r="253" spans="1:55" s="129" customFormat="1" ht="12" customHeight="1">
      <c r="A253" s="171" t="s">
        <v>143</v>
      </c>
      <c r="B253" s="82"/>
      <c r="C253" s="92"/>
      <c r="D253" s="187">
        <f t="shared" ref="D253:U253" si="245">VLOOKUP(TRUNC(D184+D183,0),$B$336:$C$431,2,TRUE)+(D184+D183-TRUNC(D184+D183,0))*(VLOOKUP(D184+D183,$B$336:$C$431,2,TRUE)-VLOOKUP(TRUNC(D184+D183,0),$B$336:$C$431,2,TRUE))+IF(D184+D183&lt;15,(D184+D183-15)*VLOOKUP(D184+D183,$B$336:$C$431,2,TRUE)/15,0)</f>
        <v>17.297000000000001</v>
      </c>
      <c r="E253" s="187">
        <f t="shared" si="245"/>
        <v>17.297000000000001</v>
      </c>
      <c r="F253" s="187">
        <f t="shared" si="245"/>
        <v>17.297000000000001</v>
      </c>
      <c r="G253" s="187">
        <f t="shared" si="245"/>
        <v>17.297000000000001</v>
      </c>
      <c r="H253" s="187">
        <f t="shared" si="245"/>
        <v>17.297000000000001</v>
      </c>
      <c r="I253" s="187">
        <f t="shared" si="245"/>
        <v>17.297000000000001</v>
      </c>
      <c r="J253" s="187">
        <f t="shared" si="245"/>
        <v>17.297000000000001</v>
      </c>
      <c r="K253" s="187">
        <f t="shared" si="245"/>
        <v>17.297000000000001</v>
      </c>
      <c r="L253" s="187">
        <f t="shared" si="245"/>
        <v>17.297000000000001</v>
      </c>
      <c r="M253" s="187">
        <f t="shared" si="245"/>
        <v>17.297000000000001</v>
      </c>
      <c r="N253" s="187">
        <f t="shared" si="245"/>
        <v>17.297000000000001</v>
      </c>
      <c r="O253" s="187">
        <f t="shared" si="245"/>
        <v>17.297000000000001</v>
      </c>
      <c r="P253" s="187">
        <f t="shared" si="245"/>
        <v>17.297000000000001</v>
      </c>
      <c r="Q253" s="187">
        <f t="shared" si="245"/>
        <v>17.297000000000001</v>
      </c>
      <c r="R253" s="187">
        <f t="shared" si="245"/>
        <v>17.297000000000001</v>
      </c>
      <c r="S253" s="187">
        <f t="shared" si="245"/>
        <v>17.297000000000001</v>
      </c>
      <c r="T253" s="187">
        <f t="shared" si="245"/>
        <v>17.297000000000001</v>
      </c>
      <c r="U253" s="187">
        <f t="shared" si="245"/>
        <v>17.297000000000001</v>
      </c>
      <c r="V253" s="5"/>
      <c r="W253" s="5"/>
      <c r="X253" s="177"/>
      <c r="Y253" s="33"/>
      <c r="Z253" s="33"/>
      <c r="AA253" s="33"/>
      <c r="AB253" s="33"/>
      <c r="AC253" s="33"/>
      <c r="AD253" s="33"/>
      <c r="AE253" s="33"/>
      <c r="AF253" s="33"/>
      <c r="AG253" s="33"/>
      <c r="AH253" s="33"/>
      <c r="AI253" s="33"/>
      <c r="AJ253" s="33"/>
      <c r="AK253" s="33"/>
      <c r="AL253" s="33"/>
      <c r="AM253" s="33"/>
      <c r="AN253" s="33"/>
      <c r="AO253" s="33"/>
      <c r="AP253" s="33"/>
      <c r="AQ253" s="33"/>
      <c r="AR253" s="33"/>
      <c r="AS253" s="33"/>
      <c r="AT253" s="33"/>
      <c r="AU253" s="33"/>
      <c r="AV253" s="33"/>
      <c r="AW253" s="33"/>
      <c r="AX253" s="33"/>
      <c r="AY253" s="33"/>
      <c r="AZ253" s="33"/>
      <c r="BA253" s="33"/>
      <c r="BB253" s="33"/>
      <c r="BC253" s="125"/>
    </row>
    <row r="254" spans="1:55" s="129" customFormat="1" ht="12" customHeight="1">
      <c r="A254" s="171" t="s">
        <v>79</v>
      </c>
      <c r="B254" s="82"/>
      <c r="C254" s="121" t="s">
        <v>61</v>
      </c>
      <c r="D254" s="299">
        <v>12</v>
      </c>
      <c r="E254" s="299">
        <v>12</v>
      </c>
      <c r="F254" s="299">
        <v>12</v>
      </c>
      <c r="G254" s="299">
        <v>12</v>
      </c>
      <c r="H254" s="299">
        <v>12</v>
      </c>
      <c r="I254" s="299">
        <v>12</v>
      </c>
      <c r="J254" s="299">
        <v>12</v>
      </c>
      <c r="K254" s="299">
        <v>12</v>
      </c>
      <c r="L254" s="299">
        <v>12</v>
      </c>
      <c r="M254" s="299">
        <v>12</v>
      </c>
      <c r="N254" s="299">
        <v>12</v>
      </c>
      <c r="O254" s="299">
        <v>12</v>
      </c>
      <c r="P254" s="299">
        <v>12</v>
      </c>
      <c r="Q254" s="299">
        <v>12</v>
      </c>
      <c r="R254" s="299">
        <v>12</v>
      </c>
      <c r="S254" s="299">
        <v>12</v>
      </c>
      <c r="T254" s="299">
        <v>12</v>
      </c>
      <c r="U254" s="299">
        <v>12</v>
      </c>
      <c r="V254" s="5"/>
      <c r="W254" s="5"/>
      <c r="X254" s="177"/>
      <c r="Y254" s="33"/>
      <c r="Z254" s="33"/>
      <c r="AA254" s="33"/>
      <c r="AB254" s="33"/>
      <c r="AC254" s="33"/>
      <c r="AD254" s="33"/>
      <c r="AE254" s="33"/>
      <c r="AF254" s="33"/>
      <c r="AG254" s="33"/>
      <c r="AI254" s="33"/>
      <c r="AJ254" s="33"/>
      <c r="AK254" s="33"/>
      <c r="AL254" s="33"/>
      <c r="AM254" s="33"/>
      <c r="AN254" s="33"/>
      <c r="AO254" s="33"/>
      <c r="AP254" s="33"/>
      <c r="AQ254" s="33"/>
      <c r="AR254" s="33"/>
      <c r="AS254" s="33"/>
      <c r="AT254" s="33"/>
      <c r="AU254" s="33"/>
      <c r="AV254" s="33"/>
      <c r="AW254" s="33"/>
      <c r="AX254" s="33"/>
      <c r="AY254" s="33"/>
      <c r="AZ254" s="33"/>
      <c r="BA254" s="33"/>
      <c r="BB254" s="33"/>
      <c r="BC254" s="125"/>
    </row>
    <row r="255" spans="1:55" s="129" customFormat="1" ht="12.75" customHeight="1" thickBot="1">
      <c r="A255" s="89" t="s">
        <v>166</v>
      </c>
      <c r="B255" s="82"/>
      <c r="C255" s="92"/>
      <c r="D255" s="96">
        <f>IF(AND($B$1&gt;0,COUNTIF($D138:$U138,"&gt;0.001")&gt;1),3000,2000)</f>
        <v>2000</v>
      </c>
      <c r="E255" s="96">
        <f t="shared" ref="E255:U255" si="246">IF(AND($B$1&gt;0,COUNTIF($D138:$U138,"&gt;0.001")&gt;1),3000,2000)</f>
        <v>2000</v>
      </c>
      <c r="F255" s="96">
        <f t="shared" si="246"/>
        <v>2000</v>
      </c>
      <c r="G255" s="96">
        <f t="shared" si="246"/>
        <v>2000</v>
      </c>
      <c r="H255" s="96">
        <f t="shared" si="246"/>
        <v>2000</v>
      </c>
      <c r="I255" s="96">
        <f t="shared" si="246"/>
        <v>2000</v>
      </c>
      <c r="J255" s="96">
        <f t="shared" si="246"/>
        <v>2000</v>
      </c>
      <c r="K255" s="96">
        <f t="shared" si="246"/>
        <v>2000</v>
      </c>
      <c r="L255" s="96">
        <f t="shared" si="246"/>
        <v>2000</v>
      </c>
      <c r="M255" s="96">
        <f t="shared" si="246"/>
        <v>2000</v>
      </c>
      <c r="N255" s="96">
        <f t="shared" si="246"/>
        <v>2000</v>
      </c>
      <c r="O255" s="96">
        <f t="shared" si="246"/>
        <v>2000</v>
      </c>
      <c r="P255" s="96">
        <f t="shared" si="246"/>
        <v>2000</v>
      </c>
      <c r="Q255" s="96">
        <f t="shared" si="246"/>
        <v>2000</v>
      </c>
      <c r="R255" s="96">
        <f t="shared" si="246"/>
        <v>2000</v>
      </c>
      <c r="S255" s="96">
        <f t="shared" si="246"/>
        <v>2000</v>
      </c>
      <c r="T255" s="96">
        <f t="shared" si="246"/>
        <v>2000</v>
      </c>
      <c r="U255" s="96">
        <f t="shared" si="246"/>
        <v>2000</v>
      </c>
      <c r="V255" s="5"/>
      <c r="W255" s="5"/>
      <c r="X255" s="177"/>
      <c r="Y255" s="33"/>
      <c r="Z255" s="33"/>
      <c r="AA255" s="33"/>
      <c r="AB255" s="33"/>
      <c r="AC255" s="33"/>
      <c r="AD255" s="33"/>
      <c r="AE255" s="33"/>
      <c r="AF255" s="33"/>
      <c r="AG255" s="33"/>
      <c r="AH255" s="33"/>
      <c r="AI255" s="33"/>
      <c r="AJ255" s="33"/>
      <c r="AK255" s="33"/>
      <c r="AL255" s="33"/>
      <c r="AM255" s="33"/>
      <c r="AN255" s="33"/>
      <c r="AO255" s="33"/>
      <c r="AP255" s="33"/>
      <c r="AQ255" s="33"/>
      <c r="AR255" s="33"/>
      <c r="AS255" s="33"/>
      <c r="AT255" s="33"/>
      <c r="AU255" s="33"/>
      <c r="AV255" s="33"/>
      <c r="AW255" s="33"/>
      <c r="AX255" s="33"/>
      <c r="AY255" s="33"/>
      <c r="AZ255" s="33"/>
      <c r="BA255" s="33"/>
      <c r="BB255" s="33"/>
      <c r="BC255" s="125"/>
    </row>
    <row r="256" spans="1:55" s="129" customFormat="1" ht="12.75" customHeight="1">
      <c r="A256" s="348" t="s">
        <v>175</v>
      </c>
      <c r="B256" s="82"/>
      <c r="C256" s="92"/>
      <c r="D256" s="350">
        <f>MIN((D$244-D$245)/(20-15)*(MIN(D201,20)-15)+D$245,D$244)*MAX(1-MIN(MIN(MAX(MAX(40-D201,0)+D201+D183,62),MAX(67,(D182-D180)/365))-D201-D183,5)*6/100,0)*IF(D201&lt;15,0,1)*(1-MAX((40-MIN(D246,D247))/40,0))</f>
        <v>241.92</v>
      </c>
      <c r="E256" s="350">
        <f t="shared" ref="E256:U256" si="247">MIN((E$244-E$245)/(20-15)*(MIN(E201,20)-15)+E$245,E$244)*MAX(1-MIN(MIN(MAX(MAX(40-E201,0)+E201+E183,62),MAX(67,(E182-E180)/365))-E201-E183,5)*6/100,0)*IF(E201&lt;15,0,1)*(1-MAX((40-MIN(E246,E247))/40,0))</f>
        <v>241.92</v>
      </c>
      <c r="F256" s="350">
        <f t="shared" si="247"/>
        <v>268.79999999999995</v>
      </c>
      <c r="G256" s="350">
        <f t="shared" si="247"/>
        <v>384</v>
      </c>
      <c r="H256" s="350">
        <f t="shared" si="247"/>
        <v>0</v>
      </c>
      <c r="I256" s="350">
        <f t="shared" si="247"/>
        <v>0</v>
      </c>
      <c r="J256" s="350">
        <f t="shared" si="247"/>
        <v>268.79999999999995</v>
      </c>
      <c r="K256" s="350">
        <f t="shared" si="247"/>
        <v>384</v>
      </c>
      <c r="L256" s="350">
        <f t="shared" si="247"/>
        <v>268.79999999999995</v>
      </c>
      <c r="M256" s="350">
        <f t="shared" si="247"/>
        <v>384</v>
      </c>
      <c r="N256" s="350">
        <f t="shared" si="247"/>
        <v>0</v>
      </c>
      <c r="O256" s="350">
        <f t="shared" si="247"/>
        <v>384</v>
      </c>
      <c r="P256" s="350">
        <f t="shared" si="247"/>
        <v>384</v>
      </c>
      <c r="Q256" s="350">
        <f t="shared" si="247"/>
        <v>268.79999999999995</v>
      </c>
      <c r="R256" s="350">
        <f t="shared" si="247"/>
        <v>384</v>
      </c>
      <c r="S256" s="350">
        <f t="shared" si="247"/>
        <v>0</v>
      </c>
      <c r="T256" s="350">
        <f t="shared" si="247"/>
        <v>0</v>
      </c>
      <c r="U256" s="350">
        <f t="shared" si="247"/>
        <v>384</v>
      </c>
      <c r="V256" s="5"/>
      <c r="W256" s="5"/>
      <c r="X256" s="177"/>
      <c r="Y256" s="33"/>
      <c r="Z256" s="33"/>
      <c r="AA256" s="33"/>
      <c r="AB256" s="33"/>
      <c r="AC256" s="33"/>
      <c r="AD256" s="33"/>
      <c r="AE256" s="33"/>
      <c r="AF256" s="33"/>
      <c r="AG256" s="33"/>
      <c r="AH256" s="33"/>
      <c r="AI256" s="33"/>
      <c r="AJ256" s="33"/>
      <c r="AK256" s="33"/>
      <c r="AL256" s="33"/>
      <c r="AM256" s="33"/>
      <c r="AN256" s="33"/>
      <c r="AO256" s="33"/>
      <c r="AP256" s="33"/>
      <c r="AQ256" s="33"/>
      <c r="AR256" s="33"/>
      <c r="AS256" s="33"/>
      <c r="AT256" s="33"/>
      <c r="AU256" s="33"/>
      <c r="AV256" s="33"/>
      <c r="AW256" s="33"/>
      <c r="AX256" s="33"/>
      <c r="AY256" s="33"/>
      <c r="AZ256" s="33"/>
      <c r="BA256" s="33"/>
      <c r="BB256" s="33"/>
      <c r="BC256" s="125"/>
    </row>
    <row r="257" spans="1:59" s="129" customFormat="1" ht="12.75" customHeight="1">
      <c r="A257" s="348" t="s">
        <v>176</v>
      </c>
      <c r="B257" s="82"/>
      <c r="C257" s="92"/>
      <c r="D257" s="350">
        <f t="shared" ref="D257:U257" si="248">MIN(IFERROR(IF($B$1&gt;0,D251,D250)*IF($B$1&gt;0,SUMIF($D$202:$U$208,"&gt;0",$D$209:$U$215),D113),0),D255-D256)</f>
        <v>105.88416666666666</v>
      </c>
      <c r="E257" s="350">
        <f t="shared" si="248"/>
        <v>105.88416666666666</v>
      </c>
      <c r="F257" s="350">
        <f t="shared" si="248"/>
        <v>145.48416666666668</v>
      </c>
      <c r="G257" s="350">
        <f t="shared" si="248"/>
        <v>447.34249999999997</v>
      </c>
      <c r="H257" s="350">
        <f t="shared" si="248"/>
        <v>38.510000000000012</v>
      </c>
      <c r="I257" s="350">
        <f t="shared" si="248"/>
        <v>38.510000000000012</v>
      </c>
      <c r="J257" s="350">
        <f t="shared" si="248"/>
        <v>167.71</v>
      </c>
      <c r="K257" s="350">
        <f t="shared" si="248"/>
        <v>488.01</v>
      </c>
      <c r="L257" s="350">
        <f t="shared" si="248"/>
        <v>189.57583333333335</v>
      </c>
      <c r="M257" s="350">
        <f t="shared" ca="1" si="248"/>
        <v>402.05143059</v>
      </c>
      <c r="N257" s="350">
        <f t="shared" ca="1" si="248"/>
        <v>62.416913039999997</v>
      </c>
      <c r="O257" s="350">
        <f t="shared" si="248"/>
        <v>413.98864320000007</v>
      </c>
      <c r="P257" s="350">
        <f t="shared" si="248"/>
        <v>413.98864320000007</v>
      </c>
      <c r="Q257" s="350">
        <f t="shared" ca="1" si="248"/>
        <v>165.36858496000002</v>
      </c>
      <c r="R257" s="350">
        <f t="shared" ca="1" si="248"/>
        <v>390.22060415999999</v>
      </c>
      <c r="S257" s="350">
        <f t="shared" si="248"/>
        <v>31.679827890000009</v>
      </c>
      <c r="T257" s="350">
        <f t="shared" si="248"/>
        <v>31.679827890000009</v>
      </c>
      <c r="U257" s="350">
        <f t="shared" ca="1" si="248"/>
        <v>400.89533490000008</v>
      </c>
      <c r="V257" s="5"/>
      <c r="W257" s="5"/>
      <c r="X257" s="178"/>
      <c r="Y257" s="33"/>
      <c r="Z257" s="33"/>
      <c r="AA257" s="33"/>
      <c r="AB257" s="33"/>
      <c r="AC257" s="33"/>
      <c r="AD257" s="33"/>
      <c r="AE257" s="33"/>
      <c r="AF257" s="33"/>
      <c r="AG257" s="33"/>
      <c r="AH257" s="33"/>
      <c r="AI257" s="33"/>
      <c r="AJ257" s="33"/>
      <c r="AK257" s="33"/>
      <c r="AL257" s="33"/>
      <c r="AM257" s="33"/>
      <c r="AN257" s="33"/>
      <c r="AO257" s="33"/>
      <c r="AP257" s="33"/>
      <c r="AQ257" s="33"/>
      <c r="AR257" s="33"/>
      <c r="AS257" s="33"/>
      <c r="AT257" s="33"/>
      <c r="AU257" s="33"/>
      <c r="AV257" s="33"/>
      <c r="AW257" s="33"/>
      <c r="AX257" s="33"/>
      <c r="AY257" s="33"/>
      <c r="AZ257" s="33"/>
      <c r="BA257" s="33"/>
      <c r="BB257" s="33"/>
      <c r="BC257" s="125"/>
    </row>
    <row r="258" spans="1:59" s="129" customFormat="1" ht="12.75" customHeight="1">
      <c r="A258" s="349" t="s">
        <v>177</v>
      </c>
      <c r="B258" s="82"/>
      <c r="C258" s="92"/>
      <c r="D258" s="351">
        <f ca="1">IF($B$1&gt;0,SUM(D216:D222),D114)*MIN(MAX(MIN("31/12/2014",D182)-D181,0)/365,D185)*0.45%*MAX(1-MIN(MIN(MAX(MAX(40-D201,0)+D201+D183,62),MAX(67,(D182-D180)/365))-D201-D183,5)*6/100,0)*(1-5.2%)*IF(D48&gt;0%,1,0)</f>
        <v>41.060249999999996</v>
      </c>
      <c r="E258" s="351">
        <f t="shared" ref="E258:U258" ca="1" si="249">IF($B$1&gt;0,SUM(E216:E222),E114)*MIN(MAX(MIN("31/12/2014",E182)-E181,0)/365,E185)*0.45%*MAX(1-MIN(MIN(MAX(MAX(40-E201,0)+E201+E183,62),MAX(67,(E182-E180)/365))-E201-E183,5)*6/100,0)*(1-5.2%)*IF(E48&gt;0%,1,0)</f>
        <v>41.060249999999996</v>
      </c>
      <c r="F258" s="351">
        <f t="shared" si="249"/>
        <v>0</v>
      </c>
      <c r="G258" s="351">
        <f t="shared" si="249"/>
        <v>0</v>
      </c>
      <c r="H258" s="351">
        <f t="shared" ca="1" si="249"/>
        <v>14.931000000000001</v>
      </c>
      <c r="I258" s="351">
        <f t="shared" ca="1" si="249"/>
        <v>14.931000000000001</v>
      </c>
      <c r="J258" s="351">
        <f t="shared" si="249"/>
        <v>0</v>
      </c>
      <c r="K258" s="351">
        <f t="shared" si="249"/>
        <v>0</v>
      </c>
      <c r="L258" s="351">
        <f t="shared" si="249"/>
        <v>0</v>
      </c>
      <c r="M258" s="351">
        <f t="shared" ca="1" si="249"/>
        <v>105.41821683373152</v>
      </c>
      <c r="N258" s="351">
        <f t="shared" ca="1" si="249"/>
        <v>24.203270447999994</v>
      </c>
      <c r="O258" s="351">
        <f t="shared" si="249"/>
        <v>0</v>
      </c>
      <c r="P258" s="351">
        <f t="shared" si="249"/>
        <v>0</v>
      </c>
      <c r="Q258" s="351">
        <f t="shared" ca="1" si="249"/>
        <v>59.695332480000005</v>
      </c>
      <c r="R258" s="351">
        <f t="shared" ca="1" si="249"/>
        <v>102.31616438215892</v>
      </c>
      <c r="S258" s="351">
        <f t="shared" si="249"/>
        <v>0</v>
      </c>
      <c r="T258" s="351">
        <f t="shared" si="249"/>
        <v>0</v>
      </c>
      <c r="U258" s="351">
        <f t="shared" ca="1" si="249"/>
        <v>0</v>
      </c>
      <c r="V258" s="5"/>
      <c r="W258" s="5"/>
      <c r="X258" s="177"/>
      <c r="Y258" s="33"/>
      <c r="Z258" s="33"/>
      <c r="AA258" s="33"/>
      <c r="AB258" s="33"/>
      <c r="AC258" s="33"/>
      <c r="AD258" s="33"/>
      <c r="AE258" s="180"/>
      <c r="AF258" s="33"/>
      <c r="AG258" s="33"/>
      <c r="AH258" s="33"/>
      <c r="AI258" s="33"/>
      <c r="AJ258" s="33"/>
      <c r="AK258" s="33"/>
      <c r="AL258" s="33"/>
      <c r="AM258" s="33"/>
      <c r="AN258" s="33"/>
      <c r="AO258" s="33"/>
      <c r="AP258" s="33"/>
      <c r="AQ258" s="33"/>
      <c r="AR258" s="33"/>
      <c r="AS258" s="33"/>
      <c r="AT258" s="33"/>
      <c r="AU258" s="33"/>
      <c r="AV258" s="33"/>
      <c r="AW258" s="33"/>
      <c r="AX258" s="33"/>
      <c r="AY258" s="33"/>
      <c r="AZ258" s="33"/>
      <c r="BA258" s="33"/>
      <c r="BB258" s="33"/>
      <c r="BC258" s="125"/>
    </row>
    <row r="259" spans="1:59" s="129" customFormat="1" ht="12.75" customHeight="1">
      <c r="A259" s="349" t="s">
        <v>178</v>
      </c>
      <c r="B259" s="82"/>
      <c r="C259" s="92"/>
      <c r="D259" s="351">
        <f ca="1">IF($B$1&gt;0,SUM(D216:D222),D114)*(MIN(MAX(D182-MAX("01/01/2015",D181),0)/365,D185)/D253*(D48+D54))*(1-5.2%)*IF(D48&gt;0%,1,0)</f>
        <v>45.727967713143698</v>
      </c>
      <c r="E259" s="351">
        <f t="shared" ref="E259:U259" ca="1" si="250">IF($B$1&gt;0,SUM(E216:E222),E114)*(MIN(MAX(E182-MAX("01/01/2015",E181),0)/365,E185)/E253*(E48+E54))*(1-5.2%)*IF(E48&gt;0%,1,0)</f>
        <v>45.727967713143698</v>
      </c>
      <c r="F259" s="351">
        <f t="shared" si="250"/>
        <v>0</v>
      </c>
      <c r="G259" s="351">
        <f t="shared" si="250"/>
        <v>0</v>
      </c>
      <c r="H259" s="351">
        <f t="shared" ca="1" si="250"/>
        <v>19.182517199514365</v>
      </c>
      <c r="I259" s="351">
        <f t="shared" ca="1" si="250"/>
        <v>19.182517199514365</v>
      </c>
      <c r="J259" s="351">
        <f t="shared" si="250"/>
        <v>0</v>
      </c>
      <c r="K259" s="351">
        <f t="shared" si="250"/>
        <v>0</v>
      </c>
      <c r="L259" s="351">
        <f t="shared" si="250"/>
        <v>0</v>
      </c>
      <c r="M259" s="351">
        <f t="shared" ca="1" si="250"/>
        <v>41.098252093290391</v>
      </c>
      <c r="N259" s="351">
        <f t="shared" ca="1" si="250"/>
        <v>31.095013840550379</v>
      </c>
      <c r="O259" s="351">
        <f t="shared" si="250"/>
        <v>0</v>
      </c>
      <c r="P259" s="351">
        <f t="shared" si="250"/>
        <v>0</v>
      </c>
      <c r="Q259" s="351">
        <f t="shared" ca="1" si="250"/>
        <v>39.88888868826885</v>
      </c>
      <c r="R259" s="351">
        <f t="shared" ca="1" si="250"/>
        <v>39.88888868826885</v>
      </c>
      <c r="S259" s="351">
        <f t="shared" si="250"/>
        <v>0</v>
      </c>
      <c r="T259" s="351">
        <f t="shared" si="250"/>
        <v>0</v>
      </c>
      <c r="U259" s="351">
        <f t="shared" ca="1" si="250"/>
        <v>0</v>
      </c>
      <c r="V259" s="5"/>
      <c r="W259" s="5"/>
      <c r="X259" s="177"/>
      <c r="Y259" s="33"/>
      <c r="Z259" s="33"/>
      <c r="AA259" s="33"/>
      <c r="AB259" s="33"/>
      <c r="AC259" s="33"/>
      <c r="AD259" s="33"/>
      <c r="AE259" s="33"/>
      <c r="AF259" s="33"/>
      <c r="AG259" s="33"/>
      <c r="AH259" s="33"/>
      <c r="AI259" s="33"/>
      <c r="AJ259" s="33"/>
      <c r="AK259" s="33"/>
      <c r="AL259" s="33"/>
      <c r="AM259" s="33"/>
      <c r="AN259" s="33"/>
      <c r="AO259" s="33"/>
      <c r="AP259" s="33"/>
      <c r="AQ259" s="33"/>
      <c r="AR259" s="33"/>
      <c r="AS259" s="33"/>
      <c r="AT259" s="33"/>
      <c r="AU259" s="33"/>
      <c r="AV259" s="33"/>
      <c r="AW259" s="33"/>
      <c r="AX259" s="33"/>
      <c r="AY259" s="33"/>
      <c r="AZ259" s="33"/>
      <c r="BA259" s="33"/>
      <c r="BB259" s="33"/>
      <c r="BC259" s="125"/>
    </row>
    <row r="260" spans="1:59" s="129" customFormat="1" ht="12.75" customHeight="1">
      <c r="A260" s="349" t="s">
        <v>226</v>
      </c>
      <c r="B260" s="82"/>
      <c r="C260" s="92"/>
      <c r="D260" s="351">
        <f>IFERROR((MAX(MIN(MIN(D248,D249),D185)-5,0)*12+MIN(5,MIN(MIN(D248,D249),D185))*12*0.7)*0.075%*IF($B$1&gt;0,SUM(D209:D215),D113),0)</f>
        <v>111.37499999999999</v>
      </c>
      <c r="E260" s="402">
        <v>0</v>
      </c>
      <c r="F260" s="402">
        <v>0</v>
      </c>
      <c r="G260" s="402">
        <v>0</v>
      </c>
      <c r="H260" s="351">
        <f>IFERROR((MAX(MIN(MIN(H248,H249),H185)-5,0)*12+MIN(5,MIN(MIN(H248,H249),H185))*12*0.7)*0.075%*IF($B$1&gt;0,SUM(H209:H215),H113),0)</f>
        <v>31.5</v>
      </c>
      <c r="I260" s="402">
        <v>0</v>
      </c>
      <c r="J260" s="402">
        <v>0</v>
      </c>
      <c r="K260" s="402">
        <v>0</v>
      </c>
      <c r="L260" s="402">
        <v>0</v>
      </c>
      <c r="M260" s="351">
        <f t="shared" ref="M260:Q260" ca="1" si="251">IFERROR((MAX(MIN(MIN(M248,M249),M185)-5,0)*12+MIN(5,MIN(MIN(M248,M249),M185))*12*0.7)*0.075%*IF($B$1&gt;0,SUM(M209:M215),M113),0)</f>
        <v>218.69393583698633</v>
      </c>
      <c r="N260" s="402">
        <v>0</v>
      </c>
      <c r="O260" s="402">
        <v>0</v>
      </c>
      <c r="P260" s="402">
        <v>0</v>
      </c>
      <c r="Q260" s="351">
        <f t="shared" ca="1" si="251"/>
        <v>169.11878400000001</v>
      </c>
      <c r="R260" s="402">
        <v>0</v>
      </c>
      <c r="S260" s="402">
        <v>0</v>
      </c>
      <c r="T260" s="402">
        <v>0</v>
      </c>
      <c r="U260" s="402">
        <v>0</v>
      </c>
      <c r="V260" s="5"/>
      <c r="W260" s="5"/>
      <c r="X260" s="177"/>
      <c r="Y260" s="33"/>
      <c r="Z260" s="33"/>
      <c r="AA260" s="33"/>
      <c r="AB260" s="33"/>
      <c r="AC260" s="33"/>
      <c r="AD260" s="33"/>
      <c r="AE260" s="33"/>
      <c r="AF260" s="33"/>
      <c r="AG260" s="33"/>
      <c r="AH260" s="33"/>
      <c r="AI260" s="33"/>
      <c r="AJ260" s="33"/>
      <c r="AK260" s="33"/>
      <c r="AL260" s="33"/>
      <c r="AM260" s="33"/>
      <c r="AN260" s="33"/>
      <c r="AO260" s="33"/>
      <c r="AP260" s="33"/>
      <c r="AQ260" s="33"/>
      <c r="AR260" s="33"/>
      <c r="AS260" s="33"/>
      <c r="AT260" s="33"/>
      <c r="AU260" s="33"/>
      <c r="AV260" s="33"/>
      <c r="AW260" s="33"/>
      <c r="AX260" s="33"/>
      <c r="AY260" s="33"/>
      <c r="AZ260" s="33"/>
      <c r="BA260" s="33"/>
      <c r="BB260" s="33"/>
      <c r="BC260" s="125"/>
    </row>
    <row r="261" spans="1:59" s="129" customFormat="1" ht="12.75" customHeight="1">
      <c r="A261" s="349" t="s">
        <v>227</v>
      </c>
      <c r="B261" s="82"/>
      <c r="C261" s="92"/>
      <c r="D261" s="402">
        <v>0</v>
      </c>
      <c r="E261" s="402">
        <v>0</v>
      </c>
      <c r="F261" s="402">
        <v>0</v>
      </c>
      <c r="G261" s="351">
        <f>IFERROR((MAX(MIN(MIN(G248,G249),G185)-5,0)*10+MIN(5,MIN(MIN(G248,G249),G185))*10)*0.075%*IF($B$1&gt;0,SUM(G209:G215),G113),0)</f>
        <v>213.0873287671233</v>
      </c>
      <c r="H261" s="402">
        <v>0</v>
      </c>
      <c r="I261" s="402">
        <v>0</v>
      </c>
      <c r="J261" s="402">
        <v>0</v>
      </c>
      <c r="K261" s="351">
        <f t="shared" ref="K261:R261" si="252">IFERROR((MAX(MIN(MIN(K248,K249),K185)-5,0)*10+MIN(5,MIN(MIN(K248,K249),K185))*10)*0.075%*IF($B$1&gt;0,SUM(K209:K215),K113),0)</f>
        <v>232.45890410958904</v>
      </c>
      <c r="L261" s="402">
        <v>0</v>
      </c>
      <c r="M261" s="402">
        <v>0</v>
      </c>
      <c r="N261" s="402">
        <v>0</v>
      </c>
      <c r="O261" s="351">
        <f t="shared" si="252"/>
        <v>197.19953753424662</v>
      </c>
      <c r="P261" s="402">
        <v>0</v>
      </c>
      <c r="Q261" s="402">
        <v>0</v>
      </c>
      <c r="R261" s="351">
        <f t="shared" ca="1" si="252"/>
        <v>185.87785906849317</v>
      </c>
      <c r="S261" s="402">
        <v>0</v>
      </c>
      <c r="T261" s="402">
        <v>0</v>
      </c>
      <c r="U261" s="402">
        <v>0</v>
      </c>
      <c r="V261" s="5"/>
      <c r="W261" s="5"/>
      <c r="X261" s="177"/>
      <c r="Y261" s="33"/>
      <c r="Z261" s="33"/>
      <c r="AA261" s="33"/>
      <c r="AB261" s="33"/>
      <c r="AC261" s="33"/>
      <c r="AD261" s="33"/>
      <c r="AE261" s="33"/>
      <c r="AF261" s="33"/>
      <c r="AG261" s="33"/>
      <c r="AH261" s="33"/>
      <c r="AI261" s="33"/>
      <c r="AJ261" s="33"/>
      <c r="AK261" s="33"/>
      <c r="AL261" s="33"/>
      <c r="AM261" s="33"/>
      <c r="AN261" s="33"/>
      <c r="AO261" s="33"/>
      <c r="AP261" s="33"/>
      <c r="AQ261" s="33"/>
      <c r="AR261" s="33"/>
      <c r="AS261" s="33"/>
      <c r="AT261" s="33"/>
      <c r="AU261" s="33"/>
      <c r="AV261" s="33"/>
      <c r="AW261" s="33"/>
      <c r="AX261" s="33"/>
      <c r="AY261" s="33"/>
      <c r="AZ261" s="33"/>
      <c r="BA261" s="33"/>
      <c r="BB261" s="33"/>
      <c r="BC261" s="125"/>
    </row>
    <row r="262" spans="1:59" s="129" customFormat="1" ht="12.75" customHeight="1">
      <c r="A262" s="349" t="s">
        <v>229</v>
      </c>
      <c r="B262" s="82"/>
      <c r="C262" s="92"/>
      <c r="D262" s="404">
        <f>IFERROR(IF($B$1&gt;0,D251,D250)*SUMIF($B$433:$B$447,("&gt;="&amp;YEAR(D181)),$C$433:$C$447)/0.2/D201,0)</f>
        <v>25.728312366666664</v>
      </c>
      <c r="E262" s="405">
        <f>IFERROR(IF($B$1&gt;0,E251,E250)*SUMIF($B$449:$B$463,("&gt;="&amp;YEAR(E181)),$C$449:$C$463)/0.2/E201,0)</f>
        <v>91.209776266666651</v>
      </c>
      <c r="F262" s="406">
        <f>IFERROR(IF($B$1&gt;0,F251,F250)*SUMIF($B$481:$B$495,("&gt;="&amp;YEAR(F181)),$C$481:$C$495)/0.2/F201,0)</f>
        <v>1.1264442250000002</v>
      </c>
      <c r="G262" s="403">
        <f>IFERROR(IF($B$1&gt;0,G251,G250)*SUMIF($B$465:$B$479,("&gt;="&amp;YEAR(G181)),$C$465:$C$479)/0.2/G201,0)</f>
        <v>0.53567609302325569</v>
      </c>
      <c r="H262" s="404">
        <f>IFERROR(IF($B$1&gt;0,H251,H250)*SUMIF($B$433:$B$447,("&gt;="&amp;YEAR(H181)),$C$433:$C$447)/0.2/H201,0)</f>
        <v>25.7327671</v>
      </c>
      <c r="I262" s="405">
        <f>IFERROR(IF($B$1&gt;0,I251,I250)*SUMIF($B$449:$B$463,("&gt;="&amp;YEAR(I181)),$C$449:$C$463)/0.2/I201,0)</f>
        <v>91.225568799999991</v>
      </c>
      <c r="J262" s="406">
        <f>IFERROR(IF($B$1&gt;0,J251,J250)*SUMIF($B$481:$B$495,("&gt;="&amp;YEAR(J181)),$C$481:$C$495)/0.2/J201,0)</f>
        <v>1.1336397380952381</v>
      </c>
      <c r="K262" s="403">
        <f>IFERROR(IF($B$1&gt;0,K251,K250)*SUMIF($B$465:$B$479,("&gt;="&amp;YEAR(K181)),$C$465:$C$479)/0.2/K201,0)</f>
        <v>0.53567609302325569</v>
      </c>
      <c r="L262" s="402">
        <v>0</v>
      </c>
      <c r="M262" s="404">
        <f>IFERROR(IF($B$1&gt;0,M251,M250)*SUMIF($B$433:$B$447,("&gt;="&amp;YEAR(M181)),$C$433:$C$447)/0.2/M201,0)</f>
        <v>37.917809546511627</v>
      </c>
      <c r="N262" s="405">
        <f>IFERROR(IF($B$1&gt;0,N251,N250)*SUMIF($B$449:$B$463,("&gt;="&amp;YEAR(N181)),$C$449:$C$463)/0.2/N201,0)</f>
        <v>91.213724400000004</v>
      </c>
      <c r="O262" s="403">
        <f>IFERROR(IF($B$1&gt;0,O251,O250)*SUMIF($B$465:$B$479,("&gt;="&amp;YEAR(O181)),$C$465:$C$479)/0.2/O201,0)</f>
        <v>0.53567609302325569</v>
      </c>
      <c r="P262" s="406">
        <f>IFERROR(IF($B$1&gt;0,P251,P250)*SUMIF($B$481:$B$495,("&gt;="&amp;YEAR(P181)),$C$481:$C$495)/0.2/P201,0)</f>
        <v>1.6110004534883722</v>
      </c>
      <c r="Q262" s="404">
        <f>IFERROR(IF($B$1&gt;0,Q251,Q250)*SUMIF($B$433:$B$447,("&gt;="&amp;YEAR(Q181)),$C$433:$C$447)/0.2/Q201,0)</f>
        <v>27.638502019999997</v>
      </c>
      <c r="R262" s="403">
        <f>IFERROR(IF($B$1&gt;0,R251,R250)*SUMIF($B$465:$B$479,("&gt;="&amp;YEAR(R181)),$C$465:$C$479)/0.2/R201,0)</f>
        <v>0.53567609302325569</v>
      </c>
      <c r="S262" s="402">
        <v>0</v>
      </c>
      <c r="T262" s="402">
        <v>0</v>
      </c>
      <c r="U262" s="402">
        <v>0</v>
      </c>
      <c r="V262" s="5"/>
      <c r="W262" s="5"/>
      <c r="X262" s="177"/>
      <c r="Y262" s="33"/>
      <c r="Z262" s="33"/>
      <c r="AA262" s="33"/>
      <c r="AB262" s="33"/>
      <c r="AC262" s="33"/>
      <c r="AD262" s="33"/>
      <c r="AE262" s="33"/>
      <c r="AF262" s="33"/>
      <c r="AG262" s="33"/>
      <c r="AH262" s="33"/>
      <c r="AI262" s="33"/>
      <c r="AJ262" s="33"/>
      <c r="AK262" s="33"/>
      <c r="AL262" s="33"/>
      <c r="AM262" s="33"/>
      <c r="AN262" s="33"/>
      <c r="AO262" s="33"/>
      <c r="AP262" s="33"/>
      <c r="AQ262" s="33"/>
      <c r="AR262" s="33"/>
      <c r="AS262" s="33"/>
      <c r="AT262" s="33"/>
      <c r="AU262" s="33"/>
      <c r="AV262" s="33"/>
      <c r="AW262" s="33"/>
      <c r="AX262" s="33"/>
      <c r="AY262" s="33"/>
      <c r="AZ262" s="33"/>
      <c r="BA262" s="33"/>
      <c r="BB262" s="33"/>
      <c r="BC262" s="125"/>
    </row>
    <row r="263" spans="1:59" s="129" customFormat="1" ht="12.75" customHeight="1">
      <c r="A263" s="349" t="s">
        <v>228</v>
      </c>
      <c r="B263" s="82"/>
      <c r="C263" s="92"/>
      <c r="D263" s="351">
        <f t="shared" ref="D263:U263" si="253">IFERROR(IF($B$1&gt;0,D252,D250)*IF($B$1&gt;0,SUM(D$209:D$215),0),0)</f>
        <v>0</v>
      </c>
      <c r="E263" s="351">
        <f t="shared" si="253"/>
        <v>0</v>
      </c>
      <c r="F263" s="351">
        <f t="shared" si="253"/>
        <v>0</v>
      </c>
      <c r="G263" s="351">
        <f t="shared" si="253"/>
        <v>0</v>
      </c>
      <c r="H263" s="351">
        <f t="shared" si="253"/>
        <v>0</v>
      </c>
      <c r="I263" s="351">
        <f t="shared" si="253"/>
        <v>0</v>
      </c>
      <c r="J263" s="351">
        <f t="shared" si="253"/>
        <v>0</v>
      </c>
      <c r="K263" s="351">
        <f t="shared" si="253"/>
        <v>0</v>
      </c>
      <c r="L263" s="351">
        <f t="shared" si="253"/>
        <v>0</v>
      </c>
      <c r="M263" s="351">
        <f t="shared" si="253"/>
        <v>0</v>
      </c>
      <c r="N263" s="351">
        <f t="shared" si="253"/>
        <v>0</v>
      </c>
      <c r="O263" s="351">
        <f t="shared" si="253"/>
        <v>0</v>
      </c>
      <c r="P263" s="351">
        <f t="shared" si="253"/>
        <v>0</v>
      </c>
      <c r="Q263" s="351">
        <f t="shared" si="253"/>
        <v>0</v>
      </c>
      <c r="R263" s="351">
        <f t="shared" si="253"/>
        <v>0</v>
      </c>
      <c r="S263" s="351">
        <f t="shared" si="253"/>
        <v>0</v>
      </c>
      <c r="T263" s="351">
        <f t="shared" si="253"/>
        <v>0</v>
      </c>
      <c r="U263" s="351">
        <f t="shared" si="253"/>
        <v>0</v>
      </c>
      <c r="V263" s="5"/>
      <c r="W263" s="5"/>
      <c r="X263" s="177"/>
      <c r="Y263" s="33"/>
      <c r="Z263" s="33"/>
      <c r="AA263" s="33"/>
      <c r="AB263" s="33"/>
      <c r="AC263" s="33"/>
      <c r="AD263" s="33"/>
      <c r="AE263" s="33"/>
      <c r="AF263" s="33"/>
      <c r="AG263" s="33"/>
      <c r="AH263" s="33"/>
      <c r="AI263" s="33"/>
      <c r="AJ263" s="33"/>
      <c r="AK263" s="33"/>
      <c r="AL263" s="33"/>
      <c r="AM263" s="33"/>
      <c r="AN263" s="33"/>
      <c r="AO263" s="33"/>
      <c r="AP263" s="33"/>
      <c r="AQ263" s="33"/>
      <c r="AR263" s="33"/>
      <c r="AS263" s="33"/>
      <c r="AT263" s="33"/>
      <c r="AU263" s="33"/>
      <c r="AV263" s="33"/>
      <c r="AW263" s="33"/>
      <c r="AX263" s="33"/>
      <c r="AY263" s="33"/>
      <c r="AZ263" s="33"/>
      <c r="BA263" s="33"/>
      <c r="BB263" s="33"/>
      <c r="BC263" s="125"/>
    </row>
    <row r="264" spans="1:59" s="129" customFormat="1" ht="11.25" customHeight="1">
      <c r="A264" s="97" t="s">
        <v>159</v>
      </c>
      <c r="B264" s="82"/>
      <c r="C264" s="92"/>
      <c r="D264" s="304">
        <f>D256*IF($B$1&gt;0,SUM(D237:D243),1)</f>
        <v>241.92</v>
      </c>
      <c r="E264" s="304">
        <f t="shared" ref="E264:U264" si="254">E256*IF($B$1&gt;0,SUM(E237:E243),1)</f>
        <v>241.92</v>
      </c>
      <c r="F264" s="304">
        <f t="shared" si="254"/>
        <v>268.79999999999995</v>
      </c>
      <c r="G264" s="304">
        <f t="shared" si="254"/>
        <v>384</v>
      </c>
      <c r="H264" s="304">
        <f t="shared" si="254"/>
        <v>0</v>
      </c>
      <c r="I264" s="304">
        <f t="shared" si="254"/>
        <v>0</v>
      </c>
      <c r="J264" s="304">
        <f t="shared" si="254"/>
        <v>268.79999999999995</v>
      </c>
      <c r="K264" s="304">
        <f t="shared" si="254"/>
        <v>384</v>
      </c>
      <c r="L264" s="304">
        <f t="shared" si="254"/>
        <v>268.79999999999995</v>
      </c>
      <c r="M264" s="304">
        <f t="shared" si="254"/>
        <v>384</v>
      </c>
      <c r="N264" s="304">
        <f t="shared" si="254"/>
        <v>0</v>
      </c>
      <c r="O264" s="304">
        <f t="shared" si="254"/>
        <v>384</v>
      </c>
      <c r="P264" s="304">
        <f t="shared" si="254"/>
        <v>384</v>
      </c>
      <c r="Q264" s="304">
        <f t="shared" si="254"/>
        <v>268.79999999999995</v>
      </c>
      <c r="R264" s="304">
        <f t="shared" si="254"/>
        <v>384</v>
      </c>
      <c r="S264" s="304">
        <f t="shared" si="254"/>
        <v>0</v>
      </c>
      <c r="T264" s="304">
        <f t="shared" si="254"/>
        <v>0</v>
      </c>
      <c r="U264" s="304">
        <f t="shared" si="254"/>
        <v>384</v>
      </c>
      <c r="V264" s="5"/>
      <c r="W264" s="5"/>
      <c r="X264" s="305">
        <f>SUM(D264:U264)-U256</f>
        <v>3863.04</v>
      </c>
      <c r="Y264" s="33"/>
      <c r="Z264" s="33"/>
      <c r="AA264" s="33"/>
      <c r="AB264" s="33"/>
      <c r="AC264" s="33"/>
      <c r="AD264" s="33"/>
      <c r="AE264" s="141"/>
      <c r="AF264" s="33"/>
      <c r="AG264" s="33"/>
      <c r="AH264" s="33"/>
      <c r="AI264" s="33"/>
      <c r="AJ264" s="33"/>
      <c r="AK264" s="33"/>
      <c r="AL264" s="33"/>
      <c r="AM264" s="33"/>
      <c r="AN264" s="33"/>
      <c r="AO264" s="33"/>
      <c r="AP264" s="33"/>
      <c r="AQ264" s="33"/>
      <c r="AR264" s="33"/>
      <c r="AS264" s="33"/>
      <c r="AT264" s="33"/>
      <c r="AU264" s="33"/>
      <c r="AV264" s="33"/>
      <c r="AW264" s="33"/>
      <c r="AX264" s="33"/>
      <c r="AY264" s="33"/>
      <c r="AZ264" s="33"/>
      <c r="BA264" s="33"/>
      <c r="BB264" s="33"/>
      <c r="BC264" s="125"/>
    </row>
    <row r="265" spans="1:59" s="129" customFormat="1" ht="12" customHeight="1">
      <c r="A265" s="347" t="s">
        <v>158</v>
      </c>
      <c r="B265" s="82"/>
      <c r="C265" s="92"/>
      <c r="D265" s="303">
        <f>IFERROR(D257*IF($B$1&gt;0,SUM(D223:D229),1),0)</f>
        <v>105.88416666666666</v>
      </c>
      <c r="E265" s="303">
        <f t="shared" ref="E265:U265" si="255">IFERROR(E257*IF($B$1&gt;0,SUM(E223:E229),1),0)</f>
        <v>105.88416666666666</v>
      </c>
      <c r="F265" s="303">
        <f t="shared" si="255"/>
        <v>145.48416666666668</v>
      </c>
      <c r="G265" s="303">
        <f t="shared" si="255"/>
        <v>447.34249999999997</v>
      </c>
      <c r="H265" s="303">
        <f t="shared" si="255"/>
        <v>38.510000000000012</v>
      </c>
      <c r="I265" s="303">
        <f t="shared" si="255"/>
        <v>38.510000000000012</v>
      </c>
      <c r="J265" s="303">
        <f t="shared" si="255"/>
        <v>167.71</v>
      </c>
      <c r="K265" s="303">
        <f t="shared" si="255"/>
        <v>488.01</v>
      </c>
      <c r="L265" s="303">
        <f t="shared" si="255"/>
        <v>189.57583333333335</v>
      </c>
      <c r="M265" s="303">
        <f t="shared" ca="1" si="255"/>
        <v>402.05143059</v>
      </c>
      <c r="N265" s="303">
        <f t="shared" ca="1" si="255"/>
        <v>62.416913039999997</v>
      </c>
      <c r="O265" s="303">
        <f t="shared" si="255"/>
        <v>413.98864320000007</v>
      </c>
      <c r="P265" s="303">
        <f t="shared" si="255"/>
        <v>413.98864320000007</v>
      </c>
      <c r="Q265" s="303">
        <f t="shared" ca="1" si="255"/>
        <v>165.36858496000002</v>
      </c>
      <c r="R265" s="303">
        <f t="shared" ca="1" si="255"/>
        <v>390.22060415999999</v>
      </c>
      <c r="S265" s="303">
        <f t="shared" si="255"/>
        <v>31.679827890000009</v>
      </c>
      <c r="T265" s="303">
        <f t="shared" si="255"/>
        <v>31.679827890000009</v>
      </c>
      <c r="U265" s="303">
        <f t="shared" ca="1" si="255"/>
        <v>400.89533490000008</v>
      </c>
      <c r="V265" s="5"/>
      <c r="W265" s="5"/>
      <c r="X265" s="305">
        <f ca="1">SUM(D265:U265)-U257</f>
        <v>3638.3053082633342</v>
      </c>
      <c r="Y265" s="33"/>
      <c r="Z265" s="33"/>
      <c r="AA265" s="33"/>
      <c r="AB265" s="33"/>
      <c r="AC265" s="33"/>
      <c r="AD265" s="33"/>
      <c r="AF265" s="33"/>
      <c r="AG265" s="33"/>
      <c r="AH265" s="33"/>
      <c r="AI265" s="33"/>
      <c r="AJ265" s="33"/>
      <c r="AK265" s="33"/>
      <c r="AL265" s="33"/>
      <c r="AM265" s="33"/>
      <c r="AN265" s="33"/>
      <c r="AO265" s="33"/>
      <c r="AP265" s="33"/>
      <c r="AQ265" s="33"/>
      <c r="AR265" s="33"/>
      <c r="AS265" s="33"/>
      <c r="AT265" s="33"/>
      <c r="AU265" s="33"/>
      <c r="AV265" s="33"/>
      <c r="AW265" s="33"/>
      <c r="AX265" s="33"/>
      <c r="AY265" s="33"/>
      <c r="AZ265" s="33"/>
      <c r="BA265" s="33"/>
      <c r="BB265" s="33"/>
      <c r="BC265" s="125"/>
    </row>
    <row r="266" spans="1:59" s="129" customFormat="1" ht="11.25" customHeight="1">
      <c r="A266" s="97" t="s">
        <v>41</v>
      </c>
      <c r="B266" s="82"/>
      <c r="C266" s="92"/>
      <c r="D266" s="304">
        <f ca="1">D259+D258</f>
        <v>86.788217713143695</v>
      </c>
      <c r="E266" s="304">
        <f t="shared" ref="E266:U266" ca="1" si="256">E259+E258</f>
        <v>86.788217713143695</v>
      </c>
      <c r="F266" s="304">
        <f t="shared" si="256"/>
        <v>0</v>
      </c>
      <c r="G266" s="304">
        <f t="shared" si="256"/>
        <v>0</v>
      </c>
      <c r="H266" s="304">
        <f t="shared" ca="1" si="256"/>
        <v>34.113517199514362</v>
      </c>
      <c r="I266" s="304">
        <f t="shared" ca="1" si="256"/>
        <v>34.113517199514362</v>
      </c>
      <c r="J266" s="304">
        <f t="shared" si="256"/>
        <v>0</v>
      </c>
      <c r="K266" s="304">
        <f t="shared" si="256"/>
        <v>0</v>
      </c>
      <c r="L266" s="304">
        <f t="shared" si="256"/>
        <v>0</v>
      </c>
      <c r="M266" s="304">
        <f t="shared" ca="1" si="256"/>
        <v>146.51646892702192</v>
      </c>
      <c r="N266" s="304">
        <f t="shared" ca="1" si="256"/>
        <v>55.298284288550377</v>
      </c>
      <c r="O266" s="304">
        <f t="shared" si="256"/>
        <v>0</v>
      </c>
      <c r="P266" s="304">
        <f t="shared" si="256"/>
        <v>0</v>
      </c>
      <c r="Q266" s="304">
        <f t="shared" ca="1" si="256"/>
        <v>99.584221168268854</v>
      </c>
      <c r="R266" s="304">
        <f t="shared" ca="1" si="256"/>
        <v>142.20505307042777</v>
      </c>
      <c r="S266" s="304">
        <f t="shared" si="256"/>
        <v>0</v>
      </c>
      <c r="T266" s="304">
        <f t="shared" si="256"/>
        <v>0</v>
      </c>
      <c r="U266" s="304">
        <f t="shared" ca="1" si="256"/>
        <v>0</v>
      </c>
      <c r="V266" s="5"/>
      <c r="W266" s="5"/>
      <c r="X266" s="177"/>
      <c r="Y266" s="33"/>
      <c r="Z266" s="33"/>
      <c r="AA266" s="33"/>
      <c r="AB266" s="33"/>
      <c r="AC266" s="33"/>
      <c r="AD266" s="33"/>
      <c r="AE266" s="33"/>
      <c r="AF266" s="33"/>
      <c r="AG266" s="33"/>
      <c r="AH266" s="33"/>
      <c r="AI266" s="33"/>
      <c r="AJ266" s="33"/>
      <c r="AK266" s="33"/>
      <c r="AL266" s="33"/>
      <c r="AM266" s="33"/>
      <c r="AN266" s="33"/>
      <c r="AO266" s="33"/>
      <c r="AP266" s="33"/>
      <c r="AQ266" s="33"/>
      <c r="AR266" s="33"/>
      <c r="AS266" s="33"/>
      <c r="AT266" s="33"/>
      <c r="AU266" s="33"/>
      <c r="AV266" s="33"/>
      <c r="AW266" s="33"/>
      <c r="AX266" s="33"/>
      <c r="AY266" s="33"/>
      <c r="AZ266" s="33"/>
      <c r="BA266" s="33"/>
      <c r="BB266" s="33"/>
      <c r="BC266" s="125"/>
    </row>
    <row r="267" spans="1:59" s="129" customFormat="1" ht="11.25" customHeight="1">
      <c r="A267" s="97" t="s">
        <v>225</v>
      </c>
      <c r="B267" s="82"/>
      <c r="C267" s="92"/>
      <c r="D267" s="346">
        <f>D260+D261</f>
        <v>111.37499999999999</v>
      </c>
      <c r="E267" s="346">
        <f t="shared" ref="E267:U267" si="257">E260+E261</f>
        <v>0</v>
      </c>
      <c r="F267" s="346">
        <f t="shared" si="257"/>
        <v>0</v>
      </c>
      <c r="G267" s="346">
        <f t="shared" si="257"/>
        <v>213.0873287671233</v>
      </c>
      <c r="H267" s="346">
        <f t="shared" si="257"/>
        <v>31.5</v>
      </c>
      <c r="I267" s="346">
        <f t="shared" si="257"/>
        <v>0</v>
      </c>
      <c r="J267" s="346">
        <f t="shared" si="257"/>
        <v>0</v>
      </c>
      <c r="K267" s="346">
        <f t="shared" si="257"/>
        <v>232.45890410958904</v>
      </c>
      <c r="L267" s="346">
        <f t="shared" si="257"/>
        <v>0</v>
      </c>
      <c r="M267" s="346">
        <f t="shared" ca="1" si="257"/>
        <v>218.69393583698633</v>
      </c>
      <c r="N267" s="346">
        <f t="shared" si="257"/>
        <v>0</v>
      </c>
      <c r="O267" s="346">
        <f t="shared" si="257"/>
        <v>197.19953753424662</v>
      </c>
      <c r="P267" s="346">
        <f t="shared" si="257"/>
        <v>0</v>
      </c>
      <c r="Q267" s="346">
        <f t="shared" ca="1" si="257"/>
        <v>169.11878400000001</v>
      </c>
      <c r="R267" s="346">
        <f t="shared" ca="1" si="257"/>
        <v>185.87785906849317</v>
      </c>
      <c r="S267" s="346">
        <f t="shared" si="257"/>
        <v>0</v>
      </c>
      <c r="T267" s="346">
        <f t="shared" si="257"/>
        <v>0</v>
      </c>
      <c r="U267" s="346">
        <f t="shared" si="257"/>
        <v>0</v>
      </c>
      <c r="V267" s="5"/>
      <c r="W267" s="5"/>
      <c r="X267" s="178"/>
      <c r="Y267" s="141"/>
      <c r="Z267" s="141"/>
      <c r="AA267" s="141"/>
      <c r="AB267" s="141"/>
      <c r="AC267" s="141"/>
      <c r="AD267" s="141"/>
      <c r="AE267" s="141"/>
      <c r="AF267" s="141"/>
      <c r="AG267" s="141"/>
      <c r="AH267" s="141"/>
      <c r="AI267" s="141"/>
      <c r="AJ267" s="141"/>
      <c r="AK267" s="141"/>
      <c r="AL267" s="141"/>
      <c r="AM267" s="141"/>
      <c r="AN267" s="141"/>
      <c r="AO267" s="141"/>
      <c r="AP267" s="141"/>
      <c r="AQ267" s="33"/>
      <c r="AR267" s="33"/>
      <c r="AS267" s="33"/>
      <c r="AT267" s="33"/>
      <c r="AU267" s="33"/>
      <c r="AV267" s="33"/>
      <c r="AW267" s="33"/>
      <c r="AX267" s="33"/>
      <c r="AY267" s="33"/>
      <c r="AZ267" s="33"/>
      <c r="BA267" s="33"/>
      <c r="BB267" s="33"/>
      <c r="BC267" s="125"/>
    </row>
    <row r="268" spans="1:59" s="129" customFormat="1" ht="11.25" customHeight="1">
      <c r="A268" s="97" t="s">
        <v>223</v>
      </c>
      <c r="B268" s="82"/>
      <c r="C268" s="92"/>
      <c r="D268" s="346">
        <f>IF($B$1&gt;0,D262*SUM(D237:D243),D262)</f>
        <v>25.728312366666664</v>
      </c>
      <c r="E268" s="346">
        <f t="shared" ref="E268:U268" si="258">IF($B$1&gt;0,E262*SUM(E237:E243),E262)</f>
        <v>91.209776266666651</v>
      </c>
      <c r="F268" s="346">
        <f t="shared" si="258"/>
        <v>1.1264442250000002</v>
      </c>
      <c r="G268" s="346">
        <f t="shared" si="258"/>
        <v>0.53567609302325569</v>
      </c>
      <c r="H268" s="346">
        <f t="shared" si="258"/>
        <v>25.7327671</v>
      </c>
      <c r="I268" s="346">
        <f t="shared" si="258"/>
        <v>91.225568799999991</v>
      </c>
      <c r="J268" s="346">
        <f t="shared" si="258"/>
        <v>1.1336397380952381</v>
      </c>
      <c r="K268" s="346">
        <f t="shared" si="258"/>
        <v>0.53567609302325569</v>
      </c>
      <c r="L268" s="346">
        <f t="shared" si="258"/>
        <v>0</v>
      </c>
      <c r="M268" s="346">
        <f t="shared" si="258"/>
        <v>37.917809546511627</v>
      </c>
      <c r="N268" s="346">
        <f t="shared" si="258"/>
        <v>91.213724400000004</v>
      </c>
      <c r="O268" s="346">
        <f t="shared" si="258"/>
        <v>0.53567609302325569</v>
      </c>
      <c r="P268" s="346">
        <f t="shared" si="258"/>
        <v>1.6110004534883722</v>
      </c>
      <c r="Q268" s="346">
        <f t="shared" si="258"/>
        <v>27.638502019999997</v>
      </c>
      <c r="R268" s="346">
        <f t="shared" si="258"/>
        <v>0.53567609302325569</v>
      </c>
      <c r="S268" s="346">
        <f t="shared" si="258"/>
        <v>0</v>
      </c>
      <c r="T268" s="346">
        <f t="shared" si="258"/>
        <v>0</v>
      </c>
      <c r="U268" s="346">
        <f t="shared" si="258"/>
        <v>0</v>
      </c>
      <c r="V268" s="5"/>
      <c r="W268" s="5"/>
      <c r="X268" s="178"/>
      <c r="Y268" s="141"/>
      <c r="Z268" s="141"/>
      <c r="AA268" s="141"/>
      <c r="AB268" s="141"/>
      <c r="AC268" s="141"/>
      <c r="AD268" s="141"/>
      <c r="AE268" s="141"/>
      <c r="AF268" s="141"/>
      <c r="AG268" s="141"/>
      <c r="AH268" s="141"/>
      <c r="AI268" s="141"/>
      <c r="AJ268" s="141"/>
      <c r="AK268" s="141"/>
      <c r="AL268" s="141"/>
      <c r="AM268" s="141"/>
      <c r="AN268" s="141"/>
      <c r="AO268" s="141"/>
      <c r="AP268" s="141"/>
      <c r="AQ268" s="33"/>
      <c r="AR268" s="33"/>
      <c r="AS268" s="33"/>
      <c r="AT268" s="33"/>
      <c r="AU268" s="33"/>
      <c r="AV268" s="33"/>
      <c r="AW268" s="33"/>
      <c r="AX268" s="33"/>
      <c r="AY268" s="33"/>
      <c r="AZ268" s="33"/>
      <c r="BA268" s="33"/>
      <c r="BB268" s="33"/>
      <c r="BC268" s="125"/>
    </row>
    <row r="269" spans="1:59" s="129" customFormat="1" ht="11.25" customHeight="1" thickBot="1">
      <c r="A269" s="97" t="s">
        <v>224</v>
      </c>
      <c r="B269" s="82"/>
      <c r="C269" s="92"/>
      <c r="D269" s="346">
        <f>D263</f>
        <v>0</v>
      </c>
      <c r="E269" s="346">
        <f t="shared" ref="E269:U269" si="259">E263</f>
        <v>0</v>
      </c>
      <c r="F269" s="346">
        <f t="shared" si="259"/>
        <v>0</v>
      </c>
      <c r="G269" s="346">
        <f t="shared" si="259"/>
        <v>0</v>
      </c>
      <c r="H269" s="346">
        <f t="shared" si="259"/>
        <v>0</v>
      </c>
      <c r="I269" s="346">
        <f t="shared" si="259"/>
        <v>0</v>
      </c>
      <c r="J269" s="346">
        <f t="shared" si="259"/>
        <v>0</v>
      </c>
      <c r="K269" s="346">
        <f t="shared" si="259"/>
        <v>0</v>
      </c>
      <c r="L269" s="346">
        <f t="shared" si="259"/>
        <v>0</v>
      </c>
      <c r="M269" s="346">
        <f t="shared" si="259"/>
        <v>0</v>
      </c>
      <c r="N269" s="346">
        <f t="shared" si="259"/>
        <v>0</v>
      </c>
      <c r="O269" s="346">
        <f t="shared" si="259"/>
        <v>0</v>
      </c>
      <c r="P269" s="346">
        <f t="shared" si="259"/>
        <v>0</v>
      </c>
      <c r="Q269" s="346">
        <f t="shared" si="259"/>
        <v>0</v>
      </c>
      <c r="R269" s="346">
        <f t="shared" si="259"/>
        <v>0</v>
      </c>
      <c r="S269" s="346">
        <f t="shared" si="259"/>
        <v>0</v>
      </c>
      <c r="T269" s="346">
        <f t="shared" si="259"/>
        <v>0</v>
      </c>
      <c r="U269" s="346">
        <f t="shared" si="259"/>
        <v>0</v>
      </c>
      <c r="V269" s="5"/>
      <c r="W269" s="5"/>
      <c r="X269" s="178"/>
      <c r="Y269" s="141"/>
      <c r="Z269" s="141"/>
      <c r="AA269" s="141"/>
      <c r="AB269" s="141"/>
      <c r="AC269" s="141"/>
      <c r="AD269" s="141"/>
      <c r="AE269" s="141"/>
      <c r="AF269" s="141"/>
      <c r="AG269" s="141"/>
      <c r="AH269" s="141"/>
      <c r="AI269" s="141"/>
      <c r="AJ269" s="141"/>
      <c r="AK269" s="141"/>
      <c r="AL269" s="141"/>
      <c r="AM269" s="141"/>
      <c r="AN269" s="141"/>
      <c r="AO269" s="141"/>
      <c r="AP269" s="141"/>
      <c r="AQ269" s="33"/>
      <c r="AR269" s="33"/>
      <c r="AS269" s="33"/>
      <c r="AT269" s="33"/>
      <c r="AU269" s="33"/>
      <c r="AV269" s="33"/>
      <c r="AW269" s="33"/>
      <c r="AX269" s="33"/>
      <c r="AY269" s="33"/>
      <c r="AZ269" s="33"/>
      <c r="BA269" s="33"/>
      <c r="BB269" s="33"/>
      <c r="BC269" s="125"/>
    </row>
    <row r="270" spans="1:59" s="130" customFormat="1">
      <c r="A270" s="330" t="s">
        <v>54</v>
      </c>
      <c r="B270" s="82"/>
      <c r="C270" s="353"/>
      <c r="D270" s="334">
        <f ca="1">D266+D264+D265+D267+D268+D269</f>
        <v>571.69569674647687</v>
      </c>
      <c r="E270" s="334">
        <f t="shared" ref="E270:U270" ca="1" si="260">E266+E264+E265+E267+E268+E269</f>
        <v>525.80216064647698</v>
      </c>
      <c r="F270" s="334">
        <f t="shared" si="260"/>
        <v>415.41061089166664</v>
      </c>
      <c r="G270" s="334">
        <f t="shared" si="260"/>
        <v>1044.9655048601467</v>
      </c>
      <c r="H270" s="334">
        <f t="shared" ca="1" si="260"/>
        <v>129.85628429951436</v>
      </c>
      <c r="I270" s="334">
        <f t="shared" ca="1" si="260"/>
        <v>163.84908599951436</v>
      </c>
      <c r="J270" s="334">
        <f t="shared" si="260"/>
        <v>437.6436397380952</v>
      </c>
      <c r="K270" s="334">
        <f t="shared" si="260"/>
        <v>1105.0045802026123</v>
      </c>
      <c r="L270" s="334">
        <f t="shared" si="260"/>
        <v>458.37583333333328</v>
      </c>
      <c r="M270" s="334">
        <f t="shared" ca="1" si="260"/>
        <v>1189.1796449005199</v>
      </c>
      <c r="N270" s="334">
        <f t="shared" ca="1" si="260"/>
        <v>208.92892172855039</v>
      </c>
      <c r="O270" s="334">
        <f t="shared" si="260"/>
        <v>995.72385682726997</v>
      </c>
      <c r="P270" s="334">
        <f t="shared" si="260"/>
        <v>799.59964365348844</v>
      </c>
      <c r="Q270" s="334">
        <f t="shared" ca="1" si="260"/>
        <v>730.51009214826888</v>
      </c>
      <c r="R270" s="334">
        <f t="shared" ca="1" si="260"/>
        <v>1102.8391923919442</v>
      </c>
      <c r="S270" s="334">
        <f t="shared" si="260"/>
        <v>31.679827890000009</v>
      </c>
      <c r="T270" s="334">
        <f t="shared" si="260"/>
        <v>31.679827890000009</v>
      </c>
      <c r="U270" s="334">
        <f t="shared" ca="1" si="260"/>
        <v>784.89533490000008</v>
      </c>
      <c r="V270" s="5"/>
      <c r="W270" s="5"/>
      <c r="X270" s="179"/>
      <c r="Y270" s="125"/>
      <c r="Z270" s="125"/>
      <c r="AA270" s="125"/>
      <c r="AB270" s="125"/>
      <c r="AC270" s="125"/>
      <c r="AD270" s="125"/>
      <c r="AE270" s="125"/>
      <c r="AF270" s="125"/>
      <c r="AG270" s="125"/>
      <c r="AH270" s="129"/>
      <c r="AI270" s="125"/>
      <c r="AJ270" s="125"/>
      <c r="AK270" s="125"/>
      <c r="AL270" s="125"/>
      <c r="AM270" s="125"/>
      <c r="AN270" s="125"/>
      <c r="AO270" s="125"/>
      <c r="AP270" s="125"/>
      <c r="AQ270" s="33"/>
      <c r="AR270" s="33"/>
      <c r="AS270" s="33"/>
      <c r="AT270" s="33"/>
      <c r="AU270" s="33"/>
      <c r="AV270" s="33"/>
      <c r="AW270" s="33"/>
      <c r="AX270" s="33"/>
      <c r="AY270" s="33"/>
      <c r="AZ270" s="33"/>
      <c r="BA270" s="33"/>
      <c r="BB270" s="33"/>
      <c r="BC270" s="125"/>
      <c r="BD270" s="129"/>
      <c r="BE270" s="129"/>
      <c r="BF270" s="129"/>
      <c r="BG270" s="129"/>
    </row>
    <row r="271" spans="1:59" s="130" customFormat="1">
      <c r="A271" s="301" t="s">
        <v>69</v>
      </c>
      <c r="B271" s="82"/>
      <c r="C271" s="121" t="s">
        <v>65</v>
      </c>
      <c r="D271" s="335">
        <v>0.06</v>
      </c>
      <c r="E271" s="335">
        <v>0.06</v>
      </c>
      <c r="F271" s="335">
        <v>0.06</v>
      </c>
      <c r="G271" s="335">
        <v>0.06</v>
      </c>
      <c r="H271" s="335">
        <v>0.06</v>
      </c>
      <c r="I271" s="335">
        <v>0.06</v>
      </c>
      <c r="J271" s="335">
        <v>0.06</v>
      </c>
      <c r="K271" s="335">
        <v>0.06</v>
      </c>
      <c r="L271" s="335">
        <v>0.06</v>
      </c>
      <c r="M271" s="335">
        <v>0.06</v>
      </c>
      <c r="N271" s="335">
        <v>0.06</v>
      </c>
      <c r="O271" s="335">
        <v>0.06</v>
      </c>
      <c r="P271" s="335">
        <v>0.06</v>
      </c>
      <c r="Q271" s="335">
        <v>0.06</v>
      </c>
      <c r="R271" s="335">
        <v>0.06</v>
      </c>
      <c r="S271" s="335">
        <v>0.06</v>
      </c>
      <c r="T271" s="335">
        <v>0.06</v>
      </c>
      <c r="U271" s="335">
        <v>0.06</v>
      </c>
      <c r="V271" s="5"/>
      <c r="W271" s="5"/>
      <c r="X271" s="179"/>
      <c r="Y271" s="125"/>
      <c r="Z271" s="125"/>
      <c r="AA271" s="125"/>
      <c r="AB271" s="125"/>
      <c r="AC271" s="125"/>
      <c r="AD271" s="125"/>
      <c r="AE271" s="125"/>
      <c r="AF271" s="125"/>
      <c r="AG271" s="125"/>
      <c r="AH271" s="125"/>
      <c r="AI271" s="125"/>
      <c r="AJ271" s="125"/>
      <c r="AK271" s="125"/>
      <c r="AL271" s="125"/>
      <c r="AM271" s="125"/>
      <c r="AN271" s="125"/>
      <c r="AO271" s="125"/>
      <c r="AP271" s="125"/>
      <c r="AQ271" s="33"/>
      <c r="AR271" s="33"/>
      <c r="AS271" s="33"/>
      <c r="AT271" s="33"/>
      <c r="AU271" s="33"/>
      <c r="AV271" s="33"/>
      <c r="AW271" s="33"/>
      <c r="AX271" s="33"/>
      <c r="AY271" s="33"/>
      <c r="AZ271" s="33"/>
      <c r="BA271" s="33"/>
      <c r="BB271" s="33"/>
      <c r="BC271" s="125"/>
      <c r="BD271" s="129"/>
      <c r="BE271" s="129"/>
      <c r="BF271" s="129"/>
      <c r="BG271" s="129"/>
    </row>
    <row r="272" spans="1:59" s="130" customFormat="1" ht="12.75" thickBot="1">
      <c r="A272" s="331" t="s">
        <v>66</v>
      </c>
      <c r="B272" s="82"/>
      <c r="C272" s="333"/>
      <c r="D272" s="332">
        <f ca="1">D270*(1-D271)</f>
        <v>537.39395494168821</v>
      </c>
      <c r="E272" s="332">
        <f t="shared" ref="E272:U272" ca="1" si="261">E270*(1-E271)</f>
        <v>494.25403100768835</v>
      </c>
      <c r="F272" s="332">
        <f t="shared" si="261"/>
        <v>390.48597423816659</v>
      </c>
      <c r="G272" s="332">
        <f t="shared" si="261"/>
        <v>982.26757456853784</v>
      </c>
      <c r="H272" s="332">
        <f t="shared" ca="1" si="261"/>
        <v>122.06490724154349</v>
      </c>
      <c r="I272" s="332">
        <f t="shared" ca="1" si="261"/>
        <v>154.01814083954349</v>
      </c>
      <c r="J272" s="332">
        <f t="shared" si="261"/>
        <v>411.38502135380946</v>
      </c>
      <c r="K272" s="332">
        <f t="shared" si="261"/>
        <v>1038.7043053904554</v>
      </c>
      <c r="L272" s="332">
        <f t="shared" si="261"/>
        <v>430.87328333333323</v>
      </c>
      <c r="M272" s="332">
        <f t="shared" ca="1" si="261"/>
        <v>1117.8288662064886</v>
      </c>
      <c r="N272" s="332">
        <f t="shared" ca="1" si="261"/>
        <v>196.39318642483735</v>
      </c>
      <c r="O272" s="332">
        <f t="shared" si="261"/>
        <v>935.98042541763368</v>
      </c>
      <c r="P272" s="332">
        <f t="shared" si="261"/>
        <v>751.62366503427904</v>
      </c>
      <c r="Q272" s="332">
        <f t="shared" ca="1" si="261"/>
        <v>686.67948661937271</v>
      </c>
      <c r="R272" s="332">
        <f t="shared" ca="1" si="261"/>
        <v>1036.6688408484274</v>
      </c>
      <c r="S272" s="332">
        <f t="shared" si="261"/>
        <v>29.779038216600007</v>
      </c>
      <c r="T272" s="332">
        <f t="shared" si="261"/>
        <v>29.779038216600007</v>
      </c>
      <c r="U272" s="332">
        <f t="shared" ca="1" si="261"/>
        <v>737.80161480600009</v>
      </c>
      <c r="V272" s="5"/>
      <c r="W272" s="5"/>
      <c r="X272" s="179"/>
      <c r="Y272" s="125"/>
      <c r="Z272" s="125"/>
      <c r="AA272" s="125"/>
      <c r="AB272" s="125"/>
      <c r="AC272" s="125"/>
      <c r="AD272" s="125"/>
      <c r="AE272" s="125"/>
      <c r="AF272" s="125"/>
      <c r="AG272" s="125"/>
      <c r="AH272" s="125"/>
      <c r="AI272" s="125"/>
      <c r="AJ272" s="125"/>
      <c r="AK272" s="125"/>
      <c r="AL272" s="125"/>
      <c r="AM272" s="125"/>
      <c r="AN272" s="125"/>
      <c r="AO272" s="125"/>
      <c r="AP272" s="125"/>
      <c r="AQ272" s="33"/>
      <c r="AR272" s="33"/>
      <c r="AS272" s="33"/>
      <c r="AT272" s="33"/>
      <c r="AU272" s="33"/>
      <c r="AV272" s="33"/>
      <c r="AW272" s="33"/>
      <c r="AX272" s="33"/>
      <c r="AY272" s="33"/>
      <c r="AZ272" s="33"/>
      <c r="BA272" s="33"/>
      <c r="BB272" s="33"/>
      <c r="BC272" s="125"/>
      <c r="BD272" s="129"/>
      <c r="BE272" s="129"/>
      <c r="BF272" s="129"/>
      <c r="BG272" s="129"/>
    </row>
    <row r="273" spans="1:59" s="130" customFormat="1" ht="12.75" thickBot="1">
      <c r="A273" s="142" t="s">
        <v>20</v>
      </c>
      <c r="B273" s="82"/>
      <c r="C273" s="168"/>
      <c r="D273" s="336">
        <f ca="1">D272*D254</f>
        <v>6448.7274593002585</v>
      </c>
      <c r="E273" s="336">
        <f t="shared" ref="E273:U273" ca="1" si="262">E272*E254</f>
        <v>5931.0483720922603</v>
      </c>
      <c r="F273" s="336">
        <f t="shared" si="262"/>
        <v>4685.8316908579991</v>
      </c>
      <c r="G273" s="336">
        <f t="shared" si="262"/>
        <v>11787.210894822454</v>
      </c>
      <c r="H273" s="336">
        <f t="shared" ca="1" si="262"/>
        <v>1464.7788868985219</v>
      </c>
      <c r="I273" s="336">
        <f t="shared" ca="1" si="262"/>
        <v>1848.2176900745219</v>
      </c>
      <c r="J273" s="336">
        <f t="shared" si="262"/>
        <v>4936.6202562457138</v>
      </c>
      <c r="K273" s="336">
        <f t="shared" si="262"/>
        <v>12464.451664685464</v>
      </c>
      <c r="L273" s="336">
        <f t="shared" si="262"/>
        <v>5170.4793999999983</v>
      </c>
      <c r="M273" s="336">
        <f t="shared" ca="1" si="262"/>
        <v>13413.946394477862</v>
      </c>
      <c r="N273" s="336">
        <f t="shared" ca="1" si="262"/>
        <v>2356.7182370980481</v>
      </c>
      <c r="O273" s="336">
        <f t="shared" si="262"/>
        <v>11231.765105011604</v>
      </c>
      <c r="P273" s="336">
        <f t="shared" si="262"/>
        <v>9019.483980411349</v>
      </c>
      <c r="Q273" s="336">
        <f t="shared" ca="1" si="262"/>
        <v>8240.1538394324725</v>
      </c>
      <c r="R273" s="336">
        <f t="shared" ca="1" si="262"/>
        <v>12440.026090181129</v>
      </c>
      <c r="S273" s="336">
        <f t="shared" si="262"/>
        <v>357.34845859920006</v>
      </c>
      <c r="T273" s="336">
        <f t="shared" si="262"/>
        <v>357.34845859920006</v>
      </c>
      <c r="U273" s="336">
        <f t="shared" ca="1" si="262"/>
        <v>8853.6193776720011</v>
      </c>
      <c r="V273" s="5"/>
      <c r="W273" s="5"/>
      <c r="X273" s="179"/>
      <c r="Y273" s="125"/>
      <c r="Z273" s="125"/>
      <c r="AA273" s="125"/>
      <c r="AB273" s="125"/>
      <c r="AC273" s="125"/>
      <c r="AD273" s="125"/>
      <c r="AE273" s="125"/>
      <c r="AF273" s="125"/>
      <c r="AG273" s="125"/>
      <c r="AH273" s="125"/>
      <c r="AI273" s="125"/>
      <c r="AJ273" s="125"/>
      <c r="AK273" s="125"/>
      <c r="AL273" s="125"/>
      <c r="AM273" s="125"/>
      <c r="AN273" s="125"/>
      <c r="AO273" s="125"/>
      <c r="AP273" s="125"/>
      <c r="AQ273" s="33"/>
      <c r="AR273" s="33"/>
      <c r="AS273" s="33"/>
      <c r="AT273" s="33"/>
      <c r="AU273" s="33"/>
      <c r="AV273" s="33"/>
      <c r="AW273" s="33"/>
      <c r="AX273" s="33"/>
      <c r="AY273" s="33"/>
      <c r="AZ273" s="33"/>
      <c r="BA273" s="33"/>
      <c r="BB273" s="33"/>
      <c r="BC273" s="125"/>
      <c r="BD273" s="129"/>
      <c r="BE273" s="129"/>
      <c r="BF273" s="129"/>
      <c r="BG273" s="129"/>
    </row>
    <row r="274" spans="1:59">
      <c r="A274" s="37" t="s">
        <v>10</v>
      </c>
      <c r="B274" s="82"/>
      <c r="C274" s="112" t="s">
        <v>51</v>
      </c>
      <c r="D274" s="292">
        <v>1250</v>
      </c>
      <c r="E274" s="292">
        <v>1250</v>
      </c>
      <c r="F274" s="292">
        <v>1250</v>
      </c>
      <c r="G274" s="292">
        <v>1250</v>
      </c>
      <c r="H274" s="292">
        <v>1250</v>
      </c>
      <c r="I274" s="292">
        <v>1250</v>
      </c>
      <c r="J274" s="292">
        <v>1250</v>
      </c>
      <c r="K274" s="292">
        <v>1250</v>
      </c>
      <c r="L274" s="292">
        <v>1250</v>
      </c>
      <c r="M274" s="292">
        <v>1250</v>
      </c>
      <c r="N274" s="292">
        <v>1250</v>
      </c>
      <c r="O274" s="292">
        <v>1250</v>
      </c>
      <c r="P274" s="292">
        <v>1250</v>
      </c>
      <c r="Q274" s="292">
        <v>1250</v>
      </c>
      <c r="R274" s="292">
        <v>1250</v>
      </c>
      <c r="S274" s="292">
        <v>1250</v>
      </c>
      <c r="T274" s="292">
        <v>1250</v>
      </c>
      <c r="U274" s="292">
        <v>1250</v>
      </c>
      <c r="X274" s="179"/>
      <c r="Y274" s="125"/>
      <c r="Z274" s="125"/>
      <c r="AA274" s="125"/>
      <c r="AB274" s="125"/>
      <c r="AC274" s="125"/>
      <c r="AD274" s="125"/>
      <c r="AE274" s="180"/>
      <c r="AF274" s="125"/>
      <c r="AG274" s="125"/>
      <c r="AH274" s="125"/>
      <c r="AI274" s="125"/>
      <c r="AJ274" s="125"/>
      <c r="AK274" s="125"/>
      <c r="AL274" s="125"/>
      <c r="AM274" s="125"/>
      <c r="AN274" s="125"/>
      <c r="AO274" s="125"/>
      <c r="AP274" s="125"/>
      <c r="BC274" s="125"/>
      <c r="BD274" s="129"/>
      <c r="BE274" s="129"/>
      <c r="BF274" s="129"/>
      <c r="BG274" s="129"/>
    </row>
    <row r="275" spans="1:59">
      <c r="A275" s="37" t="s">
        <v>17</v>
      </c>
      <c r="B275" s="130"/>
      <c r="C275" s="113" t="s">
        <v>51</v>
      </c>
      <c r="D275" s="293">
        <v>20000</v>
      </c>
      <c r="E275" s="293">
        <v>20000</v>
      </c>
      <c r="F275" s="293">
        <v>20000</v>
      </c>
      <c r="G275" s="293">
        <v>20000</v>
      </c>
      <c r="H275" s="293">
        <v>20000</v>
      </c>
      <c r="I275" s="293">
        <v>20000</v>
      </c>
      <c r="J275" s="293">
        <v>20000</v>
      </c>
      <c r="K275" s="293">
        <v>20000</v>
      </c>
      <c r="L275" s="293">
        <v>20000</v>
      </c>
      <c r="M275" s="293">
        <v>20000</v>
      </c>
      <c r="N275" s="293">
        <v>20000</v>
      </c>
      <c r="O275" s="293">
        <v>20000</v>
      </c>
      <c r="P275" s="293">
        <v>20000</v>
      </c>
      <c r="Q275" s="293">
        <v>20000</v>
      </c>
      <c r="R275" s="293">
        <v>20000</v>
      </c>
      <c r="S275" s="293">
        <v>20000</v>
      </c>
      <c r="T275" s="293">
        <v>20000</v>
      </c>
      <c r="U275" s="293">
        <v>20000</v>
      </c>
      <c r="BC275" s="125"/>
      <c r="BD275" s="129"/>
      <c r="BE275" s="129"/>
      <c r="BF275" s="129"/>
      <c r="BG275" s="129"/>
    </row>
    <row r="276" spans="1:59">
      <c r="A276" s="37" t="s">
        <v>18</v>
      </c>
      <c r="B276" s="130"/>
      <c r="C276" s="113" t="s">
        <v>51</v>
      </c>
      <c r="D276" s="293">
        <v>1000</v>
      </c>
      <c r="E276" s="293">
        <v>1000</v>
      </c>
      <c r="F276" s="293">
        <v>1000</v>
      </c>
      <c r="G276" s="293">
        <v>1000</v>
      </c>
      <c r="H276" s="293">
        <v>1000</v>
      </c>
      <c r="I276" s="293">
        <v>1000</v>
      </c>
      <c r="J276" s="293">
        <v>1000</v>
      </c>
      <c r="K276" s="293">
        <v>1000</v>
      </c>
      <c r="L276" s="293">
        <v>1000</v>
      </c>
      <c r="M276" s="293">
        <v>1000</v>
      </c>
      <c r="N276" s="293">
        <v>1000</v>
      </c>
      <c r="O276" s="293">
        <v>1000</v>
      </c>
      <c r="P276" s="293">
        <v>1000</v>
      </c>
      <c r="Q276" s="293">
        <v>1000</v>
      </c>
      <c r="R276" s="293">
        <v>1000</v>
      </c>
      <c r="S276" s="293">
        <v>1000</v>
      </c>
      <c r="T276" s="293">
        <v>1000</v>
      </c>
      <c r="U276" s="293">
        <v>1000</v>
      </c>
      <c r="BC276" s="125"/>
      <c r="BD276" s="129"/>
      <c r="BE276" s="129"/>
      <c r="BF276" s="129"/>
      <c r="BG276" s="129"/>
    </row>
    <row r="277" spans="1:59">
      <c r="A277" s="37" t="s">
        <v>19</v>
      </c>
      <c r="B277" s="130"/>
      <c r="C277" s="113" t="s">
        <v>51</v>
      </c>
      <c r="D277" s="293">
        <v>10</v>
      </c>
      <c r="E277" s="293">
        <v>10</v>
      </c>
      <c r="F277" s="293">
        <v>10</v>
      </c>
      <c r="G277" s="293">
        <v>10</v>
      </c>
      <c r="H277" s="293">
        <v>10</v>
      </c>
      <c r="I277" s="293">
        <v>10</v>
      </c>
      <c r="J277" s="293">
        <v>10</v>
      </c>
      <c r="K277" s="293">
        <v>10</v>
      </c>
      <c r="L277" s="293">
        <v>10</v>
      </c>
      <c r="M277" s="293">
        <v>10</v>
      </c>
      <c r="N277" s="293">
        <v>10</v>
      </c>
      <c r="O277" s="293">
        <v>10</v>
      </c>
      <c r="P277" s="293">
        <v>10</v>
      </c>
      <c r="Q277" s="293">
        <v>10</v>
      </c>
      <c r="R277" s="293">
        <v>10</v>
      </c>
      <c r="S277" s="293">
        <v>10</v>
      </c>
      <c r="T277" s="293">
        <v>10</v>
      </c>
      <c r="U277" s="293">
        <v>10</v>
      </c>
      <c r="BC277" s="125"/>
      <c r="BD277" s="129"/>
      <c r="BE277" s="129"/>
      <c r="BF277" s="129"/>
      <c r="BG277" s="129"/>
    </row>
    <row r="278" spans="1:59" s="175" customFormat="1" ht="12.75" thickBot="1">
      <c r="A278" s="173" t="s">
        <v>11</v>
      </c>
      <c r="B278" s="130"/>
      <c r="C278" s="114" t="s">
        <v>65</v>
      </c>
      <c r="D278" s="294">
        <v>0</v>
      </c>
      <c r="E278" s="294">
        <v>0</v>
      </c>
      <c r="F278" s="294">
        <v>0</v>
      </c>
      <c r="G278" s="294">
        <v>0</v>
      </c>
      <c r="H278" s="294">
        <v>0</v>
      </c>
      <c r="I278" s="294">
        <v>0</v>
      </c>
      <c r="J278" s="294">
        <v>0</v>
      </c>
      <c r="K278" s="294">
        <v>0</v>
      </c>
      <c r="L278" s="294">
        <v>0</v>
      </c>
      <c r="M278" s="294">
        <v>0</v>
      </c>
      <c r="N278" s="294">
        <v>0</v>
      </c>
      <c r="O278" s="294">
        <v>0</v>
      </c>
      <c r="P278" s="294">
        <v>0</v>
      </c>
      <c r="Q278" s="294">
        <v>0</v>
      </c>
      <c r="R278" s="294">
        <v>0</v>
      </c>
      <c r="S278" s="294">
        <v>0</v>
      </c>
      <c r="T278" s="294">
        <v>0</v>
      </c>
      <c r="U278" s="294">
        <v>0</v>
      </c>
      <c r="V278" s="174"/>
      <c r="W278" s="174"/>
      <c r="X278" s="177"/>
      <c r="Y278" s="33"/>
      <c r="Z278" s="33"/>
      <c r="AA278" s="33"/>
      <c r="AB278" s="33"/>
      <c r="AC278" s="33"/>
      <c r="AD278" s="33"/>
      <c r="AE278" s="33"/>
      <c r="AF278" s="33"/>
      <c r="AG278" s="33"/>
      <c r="AH278" s="33"/>
      <c r="AI278" s="33"/>
      <c r="AJ278" s="33"/>
      <c r="AK278" s="33"/>
      <c r="AL278" s="33"/>
      <c r="AM278" s="33"/>
      <c r="AN278" s="33"/>
      <c r="AO278" s="33"/>
      <c r="AP278" s="33"/>
      <c r="AQ278" s="33"/>
      <c r="AR278" s="33"/>
      <c r="AS278" s="33"/>
      <c r="AT278" s="33"/>
      <c r="AU278" s="33"/>
      <c r="AV278" s="33"/>
      <c r="AW278" s="33"/>
      <c r="AX278" s="33"/>
      <c r="AY278" s="33"/>
      <c r="AZ278" s="33"/>
      <c r="BA278" s="33"/>
      <c r="BB278" s="33"/>
      <c r="BC278" s="125"/>
      <c r="BD278" s="129"/>
      <c r="BE278" s="129"/>
      <c r="BF278" s="129"/>
      <c r="BG278" s="129"/>
    </row>
    <row r="279" spans="1:59" ht="12" customHeight="1">
      <c r="A279" s="69" t="s">
        <v>36</v>
      </c>
      <c r="B279" s="130"/>
      <c r="D279" s="133">
        <f t="shared" ref="D279:U279" ca="1" si="263">IFERROR((MAX(0,(MIN(D21,IF($B$1&gt;0,SUM($D273:$U273),D273))-D20)*D22)+MAX(0,(MIN(D18,IF($B$1&gt;0,SUM($D273:$U273),D273))-D17)*D19)+MAX(0,(MIN(D15,IF($B$1&gt;0,SUM($D273:$U273),D273))-D14)*D16)+MAX(0,(MIN(D12,IF($B$1&gt;0,SUM($D273:$U273),D273))-D11)*D13)+MAX(0,(MIN(D9,IF($B$1&gt;0,SUM($D273:$U273),D273))-D8)*D10)+MAX(0,(MIN(D6,IF($B$1&gt;0,SUM($D273:$U273),D273))-D5)*D7)+MAX(0,(MIN(D3,IF($B$1&gt;0,SUM($D273:$U273),D273))-D2)*D4))/D254*D273/(IF($B$1&gt;0,SUM($D273:$U273),D273)),0)</f>
        <v>118.2266700871714</v>
      </c>
      <c r="E279" s="133">
        <f t="shared" ca="1" si="263"/>
        <v>108.73588682169145</v>
      </c>
      <c r="F279" s="133">
        <f t="shared" si="263"/>
        <v>85.906914332396653</v>
      </c>
      <c r="G279" s="133">
        <f t="shared" si="263"/>
        <v>216.09886640507835</v>
      </c>
      <c r="H279" s="133">
        <f t="shared" ca="1" si="263"/>
        <v>26.854279593139569</v>
      </c>
      <c r="I279" s="133">
        <f t="shared" ca="1" si="263"/>
        <v>33.883990984699572</v>
      </c>
      <c r="J279" s="133">
        <f t="shared" si="263"/>
        <v>90.504704697838079</v>
      </c>
      <c r="K279" s="133">
        <f t="shared" si="263"/>
        <v>228.51494718590018</v>
      </c>
      <c r="L279" s="133">
        <f t="shared" si="263"/>
        <v>94.792122333333296</v>
      </c>
      <c r="M279" s="133">
        <f t="shared" ca="1" si="263"/>
        <v>245.92235056542745</v>
      </c>
      <c r="N279" s="133">
        <f t="shared" ca="1" si="263"/>
        <v>43.206501013464219</v>
      </c>
      <c r="O279" s="133">
        <f t="shared" si="263"/>
        <v>205.91569359187937</v>
      </c>
      <c r="P279" s="133">
        <f t="shared" si="263"/>
        <v>165.35720630754139</v>
      </c>
      <c r="Q279" s="133">
        <f t="shared" ca="1" si="263"/>
        <v>151.06948705626201</v>
      </c>
      <c r="R279" s="133">
        <f t="shared" ca="1" si="263"/>
        <v>228.06714498665403</v>
      </c>
      <c r="S279" s="133">
        <f t="shared" si="263"/>
        <v>6.5513884076520013</v>
      </c>
      <c r="T279" s="133">
        <f t="shared" si="263"/>
        <v>6.5513884076520013</v>
      </c>
      <c r="U279" s="133">
        <f t="shared" ca="1" si="263"/>
        <v>162.31635525732003</v>
      </c>
      <c r="X279" s="178"/>
      <c r="BC279" s="125"/>
      <c r="BD279" s="129"/>
      <c r="BE279" s="130"/>
      <c r="BF279" s="130"/>
      <c r="BG279" s="130"/>
    </row>
    <row r="280" spans="1:59">
      <c r="A280" s="70" t="s">
        <v>37</v>
      </c>
      <c r="B280" s="130"/>
      <c r="D280" s="71">
        <f ca="1">IFERROR(MAX((IF($B$1&gt;0,SUM($D279:$U279),D279)-MAX((D274-MAX((IF($B$1&gt;0,SUM($D273:$U273),D273)-D275),0)/D276*D277),0)/D254),0)*(1-D278)*D273/IF($B$1&gt;0,SUM($D273:$U273),D273),0)</f>
        <v>14.060003420504728</v>
      </c>
      <c r="E280" s="71">
        <f t="shared" ref="E280:U280" ca="1" si="264">IFERROR(MAX((IF($B$1&gt;0,SUM($D279:$U279),E279)-MAX((E274-MAX((IF($B$1&gt;0,SUM($D273:$U273),E273)-E275),0)/E276*E277),0)/E254),0)*(1-E278)*E273/IF($B$1&gt;0,SUM($D273:$U273),E273),0)</f>
        <v>4.5692201550247802</v>
      </c>
      <c r="F280" s="71">
        <f t="shared" si="264"/>
        <v>0</v>
      </c>
      <c r="G280" s="71">
        <f t="shared" si="264"/>
        <v>111.93219973841168</v>
      </c>
      <c r="H280" s="71">
        <f t="shared" ca="1" si="264"/>
        <v>0</v>
      </c>
      <c r="I280" s="71">
        <f t="shared" ca="1" si="264"/>
        <v>0</v>
      </c>
      <c r="J280" s="71">
        <f t="shared" si="264"/>
        <v>0</v>
      </c>
      <c r="K280" s="71">
        <f t="shared" si="264"/>
        <v>124.34828051923351</v>
      </c>
      <c r="L280" s="71">
        <f t="shared" si="264"/>
        <v>0</v>
      </c>
      <c r="M280" s="71">
        <f t="shared" ca="1" si="264"/>
        <v>141.75568389876076</v>
      </c>
      <c r="N280" s="71">
        <f t="shared" ca="1" si="264"/>
        <v>0</v>
      </c>
      <c r="O280" s="71">
        <f t="shared" si="264"/>
        <v>101.7490269252127</v>
      </c>
      <c r="P280" s="71">
        <f t="shared" si="264"/>
        <v>61.190539640874718</v>
      </c>
      <c r="Q280" s="71">
        <f t="shared" ca="1" si="264"/>
        <v>46.902820389595334</v>
      </c>
      <c r="R280" s="71">
        <f t="shared" ca="1" si="264"/>
        <v>123.90047831998734</v>
      </c>
      <c r="S280" s="71">
        <f t="shared" si="264"/>
        <v>0</v>
      </c>
      <c r="T280" s="71">
        <f t="shared" si="264"/>
        <v>0</v>
      </c>
      <c r="U280" s="71">
        <f t="shared" ca="1" si="264"/>
        <v>58.149688590653355</v>
      </c>
      <c r="BC280" s="125"/>
      <c r="BD280" s="129"/>
      <c r="BE280" s="130"/>
      <c r="BF280" s="130"/>
      <c r="BG280" s="130"/>
    </row>
    <row r="281" spans="1:59" ht="12.75" thickBot="1">
      <c r="A281" s="70" t="s">
        <v>38</v>
      </c>
      <c r="B281" s="130"/>
      <c r="D281" s="134">
        <f t="shared" ref="D281:U281" ca="1" si="265">IFERROR((MAX(0,(MIN(D42,IF($B$1&gt;0,SUM($D273:$U273),D273))-D41)*D43)+MAX(0,(MIN(D39,IF($B$1&gt;0,SUM($D273:$U273),D273))-D38)*D40)+MAX(0,(MIN(D36,IF($B$1&gt;0,SUM($D273:$U273),D273))-D35)*D37)+MAX(0,(MIN(D33,IF($B$1&gt;0,SUM($D273:$U273),D273))-D32)*D34)+MAX(0,(MIN(D30,IF($B$1&gt;0,SUM($D273:$U273),D273))-D29)*D31)+MAX(0,(MIN(D27,IF($B$1&gt;0,SUM($D273:$U273),D273))-D26)*D28)+MAX(0,(MIN(D24,IF($B$1&gt;0,SUM($D273:$U273),D273))-D23)*D25))/D254*D273/(IF($B$1&gt;0,SUM($D273:$U273),D273)),0)</f>
        <v>0</v>
      </c>
      <c r="E281" s="134">
        <f t="shared" ca="1" si="265"/>
        <v>0</v>
      </c>
      <c r="F281" s="134">
        <f t="shared" si="265"/>
        <v>0</v>
      </c>
      <c r="G281" s="134">
        <f t="shared" si="265"/>
        <v>0</v>
      </c>
      <c r="H281" s="134">
        <f t="shared" ca="1" si="265"/>
        <v>0</v>
      </c>
      <c r="I281" s="134">
        <f t="shared" ca="1" si="265"/>
        <v>0</v>
      </c>
      <c r="J281" s="134">
        <f t="shared" si="265"/>
        <v>0</v>
      </c>
      <c r="K281" s="134">
        <f t="shared" si="265"/>
        <v>0.85149471859001835</v>
      </c>
      <c r="L281" s="134">
        <f t="shared" si="265"/>
        <v>0</v>
      </c>
      <c r="M281" s="134">
        <f t="shared" ca="1" si="265"/>
        <v>2.592235056542747</v>
      </c>
      <c r="N281" s="134">
        <f t="shared" ca="1" si="265"/>
        <v>0</v>
      </c>
      <c r="O281" s="134">
        <f t="shared" si="265"/>
        <v>0</v>
      </c>
      <c r="P281" s="134">
        <f t="shared" si="265"/>
        <v>0</v>
      </c>
      <c r="Q281" s="134">
        <f t="shared" ca="1" si="265"/>
        <v>0</v>
      </c>
      <c r="R281" s="134">
        <f t="shared" ca="1" si="265"/>
        <v>0.80671449866540323</v>
      </c>
      <c r="S281" s="134">
        <f t="shared" si="265"/>
        <v>0</v>
      </c>
      <c r="T281" s="134">
        <f t="shared" si="265"/>
        <v>0</v>
      </c>
      <c r="U281" s="134">
        <f t="shared" ca="1" si="265"/>
        <v>0</v>
      </c>
      <c r="X281" s="178"/>
      <c r="Y281" s="141"/>
      <c r="Z281" s="141"/>
      <c r="AA281" s="141"/>
      <c r="AB281" s="141"/>
      <c r="AC281" s="141"/>
      <c r="AD281" s="141"/>
      <c r="AE281" s="141"/>
      <c r="AF281" s="141"/>
      <c r="AG281" s="141"/>
      <c r="AH281" s="129"/>
      <c r="AI281" s="141"/>
      <c r="AJ281" s="141"/>
      <c r="AK281" s="141"/>
      <c r="AL281" s="141"/>
      <c r="AM281" s="141"/>
      <c r="AN281" s="141"/>
      <c r="AO281" s="141"/>
      <c r="AP281" s="141"/>
      <c r="BC281" s="125"/>
      <c r="BD281" s="129"/>
      <c r="BE281" s="130"/>
      <c r="BF281" s="130"/>
      <c r="BG281" s="130"/>
    </row>
    <row r="282" spans="1:59" s="130" customFormat="1" ht="11.25" customHeight="1" thickBot="1">
      <c r="A282" s="288" t="s">
        <v>67</v>
      </c>
      <c r="C282" s="92"/>
      <c r="D282" s="99">
        <f ca="1">D272-D280-D281</f>
        <v>523.33395152118351</v>
      </c>
      <c r="E282" s="99">
        <f t="shared" ref="E282:U282" ca="1" si="266">E272-E280-E281</f>
        <v>489.68481085266359</v>
      </c>
      <c r="F282" s="99">
        <f t="shared" si="266"/>
        <v>390.48597423816659</v>
      </c>
      <c r="G282" s="99">
        <f t="shared" si="266"/>
        <v>870.33537483012617</v>
      </c>
      <c r="H282" s="99">
        <f t="shared" ca="1" si="266"/>
        <v>122.06490724154349</v>
      </c>
      <c r="I282" s="99">
        <f t="shared" ca="1" si="266"/>
        <v>154.01814083954349</v>
      </c>
      <c r="J282" s="99">
        <f t="shared" si="266"/>
        <v>411.38502135380946</v>
      </c>
      <c r="K282" s="99">
        <f t="shared" si="266"/>
        <v>913.50453015263179</v>
      </c>
      <c r="L282" s="99">
        <f t="shared" si="266"/>
        <v>430.87328333333323</v>
      </c>
      <c r="M282" s="99">
        <f t="shared" ca="1" si="266"/>
        <v>973.48094725118506</v>
      </c>
      <c r="N282" s="99">
        <f t="shared" ca="1" si="266"/>
        <v>196.39318642483735</v>
      </c>
      <c r="O282" s="99">
        <f t="shared" si="266"/>
        <v>834.23139849242102</v>
      </c>
      <c r="P282" s="99">
        <f t="shared" si="266"/>
        <v>690.43312539340434</v>
      </c>
      <c r="Q282" s="99">
        <f t="shared" ca="1" si="266"/>
        <v>639.77666622977733</v>
      </c>
      <c r="R282" s="99">
        <f t="shared" ca="1" si="266"/>
        <v>911.96164802977466</v>
      </c>
      <c r="S282" s="99">
        <f t="shared" si="266"/>
        <v>29.779038216600007</v>
      </c>
      <c r="T282" s="99">
        <f t="shared" si="266"/>
        <v>29.779038216600007</v>
      </c>
      <c r="U282" s="99">
        <f t="shared" ca="1" si="266"/>
        <v>679.65192621534675</v>
      </c>
      <c r="V282" s="5"/>
      <c r="W282" s="5"/>
      <c r="X282" s="178"/>
      <c r="Y282" s="141"/>
      <c r="Z282" s="141"/>
      <c r="AA282" s="141"/>
      <c r="AB282" s="141"/>
      <c r="AC282" s="141"/>
      <c r="AD282" s="141"/>
      <c r="AE282" s="141"/>
      <c r="AF282" s="141"/>
      <c r="AG282" s="141"/>
      <c r="AH282" s="141"/>
      <c r="AI282" s="141"/>
      <c r="AJ282" s="141"/>
      <c r="AK282" s="141"/>
      <c r="AL282" s="141"/>
      <c r="AM282" s="141"/>
      <c r="AN282" s="141"/>
      <c r="AO282" s="141"/>
      <c r="AP282" s="141"/>
      <c r="AQ282" s="33"/>
      <c r="AR282" s="33"/>
      <c r="AS282" s="33"/>
      <c r="AT282" s="33"/>
      <c r="AU282" s="33"/>
      <c r="AV282" s="33"/>
      <c r="AW282" s="33"/>
      <c r="AX282" s="33"/>
      <c r="AY282" s="33"/>
      <c r="AZ282" s="33"/>
      <c r="BA282" s="33"/>
      <c r="BB282" s="33"/>
      <c r="BC282" s="125"/>
      <c r="BD282" s="129"/>
      <c r="BE282" s="33"/>
      <c r="BF282" s="33"/>
      <c r="BG282" s="33"/>
    </row>
    <row r="283" spans="1:59" s="128" customFormat="1" ht="13.5" customHeight="1" thickBot="1">
      <c r="A283" s="160" t="s">
        <v>133</v>
      </c>
      <c r="B283" s="130"/>
      <c r="D283" s="81">
        <f t="array" ref="D283">IF($B$1&gt;0,$D282+SUM(E282:U282*E254:U254)/$D254,0)</f>
        <v>0</v>
      </c>
      <c r="E283" s="88"/>
      <c r="F283" s="88"/>
      <c r="G283" s="88"/>
      <c r="H283" s="82"/>
      <c r="I283" s="82"/>
      <c r="J283" s="82"/>
      <c r="K283" s="82"/>
      <c r="L283" s="88"/>
      <c r="M283" s="82"/>
      <c r="N283" s="82"/>
      <c r="O283" s="82"/>
      <c r="P283" s="82"/>
      <c r="Q283" s="82"/>
      <c r="R283" s="82"/>
      <c r="S283" s="82"/>
      <c r="T283" s="82"/>
      <c r="U283" s="82"/>
      <c r="V283" s="132"/>
      <c r="W283" s="132"/>
      <c r="X283" s="177"/>
      <c r="Y283" s="33"/>
      <c r="Z283" s="33"/>
      <c r="AA283" s="33"/>
      <c r="AB283" s="33"/>
      <c r="AC283" s="33"/>
      <c r="AD283" s="33"/>
      <c r="AE283" s="33"/>
      <c r="AF283" s="33"/>
      <c r="AG283" s="33"/>
      <c r="AH283" s="33"/>
      <c r="AI283" s="33"/>
      <c r="AJ283" s="33"/>
      <c r="AK283" s="33"/>
      <c r="AL283" s="33"/>
      <c r="AM283" s="33"/>
      <c r="AN283" s="33"/>
      <c r="AO283" s="33"/>
      <c r="AP283" s="33"/>
      <c r="AQ283" s="33"/>
      <c r="AR283" s="33"/>
      <c r="AS283" s="33"/>
      <c r="AT283" s="33"/>
      <c r="AU283" s="33"/>
      <c r="AV283" s="33"/>
      <c r="AW283" s="33"/>
      <c r="AX283" s="33"/>
      <c r="AY283" s="33"/>
      <c r="AZ283" s="33"/>
      <c r="BA283" s="33"/>
      <c r="BB283" s="33"/>
      <c r="BC283" s="125"/>
      <c r="BD283" s="129"/>
    </row>
    <row r="284" spans="1:59" s="130" customFormat="1" ht="11.25" customHeight="1" thickBot="1">
      <c r="A284" s="354"/>
      <c r="C284" s="92"/>
      <c r="D284" s="92"/>
      <c r="E284" s="92"/>
      <c r="F284" s="92"/>
      <c r="G284" s="92"/>
      <c r="H284" s="92"/>
      <c r="I284" s="92"/>
      <c r="J284" s="92"/>
      <c r="K284" s="92"/>
      <c r="L284" s="92"/>
      <c r="M284" s="92"/>
      <c r="N284" s="92"/>
      <c r="O284" s="92"/>
      <c r="P284" s="92"/>
      <c r="Q284" s="92"/>
      <c r="R284" s="92"/>
      <c r="S284" s="92"/>
      <c r="T284" s="92"/>
      <c r="U284" s="92"/>
      <c r="V284" s="92"/>
      <c r="W284" s="92"/>
      <c r="X284" s="178"/>
      <c r="Y284" s="141"/>
      <c r="Z284" s="141"/>
      <c r="AA284" s="141"/>
      <c r="AB284" s="141"/>
      <c r="AC284" s="141"/>
      <c r="AD284" s="141"/>
      <c r="AE284" s="141"/>
      <c r="AF284" s="141"/>
      <c r="AG284" s="141"/>
      <c r="AH284" s="141"/>
      <c r="AI284" s="141"/>
      <c r="AJ284" s="141"/>
      <c r="AK284" s="141"/>
      <c r="AL284" s="141"/>
      <c r="AM284" s="141"/>
      <c r="AN284" s="141"/>
      <c r="AO284" s="141"/>
      <c r="AP284" s="141"/>
      <c r="AQ284" s="33"/>
      <c r="AR284" s="33"/>
      <c r="AS284" s="33"/>
      <c r="AT284" s="33"/>
      <c r="AU284" s="33"/>
      <c r="AV284" s="33"/>
      <c r="AW284" s="33"/>
      <c r="AX284" s="33"/>
      <c r="AY284" s="33"/>
      <c r="AZ284" s="33"/>
      <c r="BA284" s="33"/>
      <c r="BB284" s="33"/>
      <c r="BC284" s="125"/>
      <c r="BD284" s="129"/>
      <c r="BE284" s="33"/>
      <c r="BF284" s="33"/>
      <c r="BG284" s="33"/>
    </row>
    <row r="285" spans="1:59" s="131" customFormat="1" ht="12" customHeight="1">
      <c r="A285" s="300" t="s">
        <v>130</v>
      </c>
      <c r="B285" s="130"/>
      <c r="C285" s="122"/>
      <c r="D285" s="194">
        <f>IF($B$1&gt;0,SUM(D216:D222),D114)*(MIN(MAX(MIN("31/12/2013",D182)-D181,0)/365,D185)*60%)*IF(D49&gt;0%,1,0)</f>
        <v>8250</v>
      </c>
      <c r="E285" s="194">
        <f t="shared" ref="E285:U285" si="267">IF($B$1&gt;0,SUM(E216:E222),E114)*(MIN(MAX(MIN("31/12/2013",E182)-E181,0)/365,E185)*60%)*IF(E49&gt;0%,1,0)</f>
        <v>8250</v>
      </c>
      <c r="F285" s="194">
        <f t="shared" si="267"/>
        <v>0</v>
      </c>
      <c r="G285" s="194">
        <f t="shared" si="267"/>
        <v>15946.986301369861</v>
      </c>
      <c r="H285" s="194">
        <f t="shared" si="267"/>
        <v>3000</v>
      </c>
      <c r="I285" s="194">
        <f t="shared" si="267"/>
        <v>3000</v>
      </c>
      <c r="J285" s="194">
        <f t="shared" si="267"/>
        <v>0</v>
      </c>
      <c r="K285" s="194">
        <f t="shared" si="267"/>
        <v>17396.712328767124</v>
      </c>
      <c r="L285" s="194">
        <f t="shared" si="267"/>
        <v>0</v>
      </c>
      <c r="M285" s="194">
        <f t="shared" ca="1" si="267"/>
        <v>14332.438022465754</v>
      </c>
      <c r="N285" s="194">
        <f t="shared" ca="1" si="267"/>
        <v>4863.0239999999994</v>
      </c>
      <c r="O285" s="194">
        <f t="shared" si="267"/>
        <v>14757.979002739728</v>
      </c>
      <c r="P285" s="194">
        <f t="shared" si="267"/>
        <v>0</v>
      </c>
      <c r="Q285" s="194">
        <f t="shared" ca="1" si="267"/>
        <v>11994.24</v>
      </c>
      <c r="R285" s="194">
        <f t="shared" ca="1" si="267"/>
        <v>13910.689525479451</v>
      </c>
      <c r="S285" s="194">
        <f t="shared" si="267"/>
        <v>0</v>
      </c>
      <c r="T285" s="194">
        <f t="shared" si="267"/>
        <v>0</v>
      </c>
      <c r="U285" s="194">
        <f t="shared" ca="1" si="267"/>
        <v>0</v>
      </c>
      <c r="V285" s="59"/>
      <c r="W285" s="59"/>
      <c r="X285" s="177"/>
      <c r="Y285" s="33"/>
      <c r="Z285" s="33"/>
      <c r="AA285" s="33"/>
      <c r="AB285" s="33"/>
      <c r="AC285" s="33"/>
      <c r="AD285" s="33"/>
      <c r="AE285" s="33"/>
      <c r="AF285" s="33"/>
      <c r="AG285" s="33"/>
      <c r="AH285" s="33"/>
      <c r="AI285" s="33"/>
      <c r="AJ285" s="33"/>
      <c r="AK285" s="180"/>
      <c r="AL285" s="33"/>
      <c r="AM285" s="33"/>
      <c r="AN285" s="33"/>
      <c r="AO285" s="33"/>
      <c r="AP285" s="33"/>
      <c r="AQ285" s="33"/>
      <c r="AR285" s="33"/>
      <c r="AS285" s="33"/>
      <c r="AT285" s="33"/>
      <c r="AU285" s="33"/>
      <c r="AV285" s="33"/>
      <c r="AW285" s="33"/>
      <c r="AX285" s="33"/>
      <c r="AY285" s="33"/>
      <c r="AZ285" s="33"/>
      <c r="BA285" s="33"/>
      <c r="BB285" s="33"/>
      <c r="BC285" s="125"/>
      <c r="BD285" s="129"/>
      <c r="BE285" s="33"/>
      <c r="BF285" s="33"/>
      <c r="BG285" s="33"/>
    </row>
    <row r="286" spans="1:59" s="131" customFormat="1" ht="12" customHeight="1">
      <c r="A286" s="300" t="s">
        <v>134</v>
      </c>
      <c r="B286" s="130"/>
      <c r="C286" s="122"/>
      <c r="D286" s="302">
        <f>IF($B$1&gt;0,SUM(D216:D222),D114)*(MIN(MAX(D182-MAX(MIN("01/01/2014",D182),D181),0)/365,D185)*D124*D49)*IF(D49&gt;0%,1,0)</f>
        <v>6161.2054794520536</v>
      </c>
      <c r="E286" s="302">
        <f t="shared" ref="E286:U286" si="268">IF($B$1&gt;0,SUM(E216:E222),E114)*(MIN(MAX(E182-MAX(MIN("01/01/2014",E182),E181),0)/365,E185)*E124*E49)*IF(E49&gt;0%,1,0)</f>
        <v>6161.2054794520536</v>
      </c>
      <c r="F286" s="302">
        <f t="shared" si="268"/>
        <v>0</v>
      </c>
      <c r="G286" s="302">
        <f t="shared" si="268"/>
        <v>6161.2054794520536</v>
      </c>
      <c r="H286" s="302">
        <f t="shared" si="268"/>
        <v>2400</v>
      </c>
      <c r="I286" s="302">
        <f t="shared" si="268"/>
        <v>2400</v>
      </c>
      <c r="J286" s="302">
        <f t="shared" si="268"/>
        <v>0</v>
      </c>
      <c r="K286" s="302">
        <f t="shared" si="268"/>
        <v>6721.3150684931497</v>
      </c>
      <c r="L286" s="302">
        <f t="shared" si="268"/>
        <v>0</v>
      </c>
      <c r="M286" s="302">
        <f t="shared" ca="1" si="268"/>
        <v>5537.415911013698</v>
      </c>
      <c r="N286" s="302">
        <f t="shared" ca="1" si="268"/>
        <v>1945.2095999999997</v>
      </c>
      <c r="O286" s="302">
        <f t="shared" si="268"/>
        <v>5701.8259989041098</v>
      </c>
      <c r="P286" s="302">
        <f t="shared" si="268"/>
        <v>0</v>
      </c>
      <c r="Q286" s="302">
        <f t="shared" ca="1" si="268"/>
        <v>5374.4710698082181</v>
      </c>
      <c r="R286" s="302">
        <f t="shared" ca="1" si="268"/>
        <v>5374.4710698082181</v>
      </c>
      <c r="S286" s="302">
        <f t="shared" si="268"/>
        <v>0</v>
      </c>
      <c r="T286" s="302">
        <f t="shared" si="268"/>
        <v>0</v>
      </c>
      <c r="U286" s="302">
        <f t="shared" ca="1" si="268"/>
        <v>0</v>
      </c>
      <c r="V286" s="59"/>
      <c r="W286" s="59"/>
      <c r="X286" s="177"/>
      <c r="Y286" s="33"/>
      <c r="Z286" s="33"/>
      <c r="AA286" s="33"/>
      <c r="AB286" s="33"/>
      <c r="AC286" s="33"/>
      <c r="AD286" s="33"/>
      <c r="AE286" s="33"/>
      <c r="AF286" s="33"/>
      <c r="AG286" s="33"/>
      <c r="AH286" s="33"/>
      <c r="AI286" s="33"/>
      <c r="AJ286" s="33"/>
      <c r="AK286" s="180"/>
      <c r="AL286" s="33"/>
      <c r="AM286" s="33"/>
      <c r="AN286" s="33"/>
      <c r="AO286" s="33"/>
      <c r="AP286" s="33"/>
      <c r="AQ286" s="33"/>
      <c r="AR286" s="33"/>
      <c r="AS286" s="33"/>
      <c r="AT286" s="33"/>
      <c r="AU286" s="33"/>
      <c r="AV286" s="33"/>
      <c r="AW286" s="33"/>
      <c r="AX286" s="33"/>
      <c r="AY286" s="33"/>
      <c r="AZ286" s="33"/>
      <c r="BA286" s="33"/>
      <c r="BB286" s="33"/>
      <c r="BC286" s="125"/>
      <c r="BD286" s="129"/>
      <c r="BE286" s="33"/>
      <c r="BF286" s="33"/>
      <c r="BG286" s="33"/>
    </row>
    <row r="287" spans="1:59" s="131" customFormat="1">
      <c r="A287" s="145" t="s">
        <v>63</v>
      </c>
      <c r="B287" s="130"/>
      <c r="C287" s="121" t="s">
        <v>51</v>
      </c>
      <c r="D287" s="146">
        <f t="shared" ref="D287" ca="1" si="269">D174*2</f>
        <v>11613.411992000001</v>
      </c>
      <c r="E287" s="146">
        <f t="shared" ref="E287:U287" ca="1" si="270">E174*2</f>
        <v>11613.411992000001</v>
      </c>
      <c r="F287" s="146">
        <f t="shared" ca="1" si="270"/>
        <v>12192.751999999999</v>
      </c>
      <c r="G287" s="146">
        <f t="shared" ca="1" si="270"/>
        <v>12343.971224000004</v>
      </c>
      <c r="H287" s="146">
        <f t="shared" ca="1" si="270"/>
        <v>15815.227992</v>
      </c>
      <c r="I287" s="146">
        <f t="shared" ca="1" si="270"/>
        <v>15815.227992</v>
      </c>
      <c r="J287" s="146">
        <f t="shared" ca="1" si="270"/>
        <v>16236.383999999998</v>
      </c>
      <c r="K287" s="146">
        <f t="shared" ca="1" si="270"/>
        <v>16545.787224</v>
      </c>
      <c r="L287" s="146">
        <f t="shared" ca="1" si="270"/>
        <v>16365.279999999999</v>
      </c>
      <c r="M287" s="146">
        <f t="shared" ca="1" si="270"/>
        <v>14334.823906944002</v>
      </c>
      <c r="N287" s="146">
        <f t="shared" ca="1" si="270"/>
        <v>14483.089976064002</v>
      </c>
      <c r="O287" s="146">
        <f t="shared" ca="1" si="270"/>
        <v>15252.866949120002</v>
      </c>
      <c r="P287" s="146">
        <f t="shared" ca="1" si="270"/>
        <v>15729.163653120002</v>
      </c>
      <c r="Q287" s="146">
        <f t="shared" ca="1" si="270"/>
        <v>14634.944972800004</v>
      </c>
      <c r="R287" s="146">
        <f t="shared" ca="1" si="270"/>
        <v>14597.504972799998</v>
      </c>
      <c r="S287" s="146">
        <f t="shared" si="270"/>
        <v>15974.826819999998</v>
      </c>
      <c r="T287" s="146">
        <f t="shared" si="270"/>
        <v>15974.826819999998</v>
      </c>
      <c r="U287" s="146">
        <f t="shared" ca="1" si="270"/>
        <v>16212.82368976</v>
      </c>
      <c r="V287" s="59"/>
      <c r="W287" s="59"/>
      <c r="X287" s="177"/>
      <c r="Y287" s="33"/>
      <c r="Z287" s="33"/>
      <c r="AA287" s="33"/>
      <c r="AB287" s="33"/>
      <c r="AC287" s="33"/>
      <c r="AD287" s="33"/>
      <c r="AE287" s="33"/>
      <c r="AF287" s="33"/>
      <c r="AG287" s="33"/>
      <c r="AH287" s="33"/>
      <c r="AI287" s="33"/>
      <c r="AJ287" s="33"/>
      <c r="AK287" s="33"/>
      <c r="AL287" s="33"/>
      <c r="AM287" s="33"/>
      <c r="AN287" s="33"/>
      <c r="AO287" s="33"/>
      <c r="AP287" s="33"/>
      <c r="AQ287" s="33"/>
      <c r="AR287" s="33"/>
      <c r="AS287" s="33"/>
      <c r="AT287" s="33"/>
      <c r="AU287" s="33"/>
      <c r="AV287" s="33"/>
      <c r="AW287" s="33"/>
      <c r="AX287" s="33"/>
      <c r="AY287" s="33"/>
      <c r="AZ287" s="33"/>
      <c r="BA287" s="33"/>
      <c r="BB287" s="33"/>
      <c r="BC287" s="125"/>
      <c r="BD287" s="129"/>
      <c r="BE287" s="33"/>
      <c r="BF287" s="33"/>
      <c r="BG287" s="33"/>
    </row>
    <row r="288" spans="1:59" s="131" customFormat="1">
      <c r="A288" s="144" t="s">
        <v>64</v>
      </c>
      <c r="B288" s="130"/>
      <c r="C288" s="121" t="s">
        <v>50</v>
      </c>
      <c r="D288" s="295">
        <f>80-D184-D183</f>
        <v>13</v>
      </c>
      <c r="E288" s="295">
        <f t="shared" ref="E288:U288" si="271">80-E184-E183</f>
        <v>13</v>
      </c>
      <c r="F288" s="295">
        <f t="shared" si="271"/>
        <v>13</v>
      </c>
      <c r="G288" s="295">
        <f t="shared" si="271"/>
        <v>13</v>
      </c>
      <c r="H288" s="295">
        <f t="shared" si="271"/>
        <v>13</v>
      </c>
      <c r="I288" s="295">
        <f t="shared" si="271"/>
        <v>13</v>
      </c>
      <c r="J288" s="295">
        <f t="shared" si="271"/>
        <v>13</v>
      </c>
      <c r="K288" s="295">
        <f t="shared" si="271"/>
        <v>13</v>
      </c>
      <c r="L288" s="295">
        <f t="shared" si="271"/>
        <v>13</v>
      </c>
      <c r="M288" s="295">
        <f t="shared" si="271"/>
        <v>13</v>
      </c>
      <c r="N288" s="295">
        <f t="shared" si="271"/>
        <v>13</v>
      </c>
      <c r="O288" s="295">
        <f t="shared" si="271"/>
        <v>13</v>
      </c>
      <c r="P288" s="295">
        <f t="shared" si="271"/>
        <v>13</v>
      </c>
      <c r="Q288" s="295">
        <f t="shared" si="271"/>
        <v>13</v>
      </c>
      <c r="R288" s="295">
        <f t="shared" si="271"/>
        <v>13</v>
      </c>
      <c r="S288" s="295">
        <f t="shared" si="271"/>
        <v>13</v>
      </c>
      <c r="T288" s="295">
        <f t="shared" si="271"/>
        <v>13</v>
      </c>
      <c r="U288" s="295">
        <f t="shared" si="271"/>
        <v>13</v>
      </c>
      <c r="V288" s="5"/>
      <c r="W288" s="5"/>
      <c r="X288" s="177"/>
      <c r="Y288" s="33"/>
      <c r="Z288" s="33"/>
      <c r="AA288" s="33"/>
      <c r="AB288" s="33"/>
      <c r="AC288" s="33"/>
      <c r="AD288" s="33"/>
      <c r="AE288" s="33"/>
      <c r="AF288" s="33"/>
      <c r="AG288" s="33"/>
      <c r="AH288" s="33"/>
      <c r="AI288" s="33"/>
      <c r="AJ288" s="33"/>
      <c r="AK288" s="33"/>
      <c r="AL288" s="33"/>
      <c r="AM288" s="33"/>
      <c r="AN288" s="33"/>
      <c r="AO288" s="33"/>
      <c r="AP288" s="33"/>
      <c r="AQ288" s="33"/>
      <c r="AR288" s="33"/>
      <c r="AS288" s="33"/>
      <c r="AT288" s="33"/>
      <c r="AU288" s="33"/>
      <c r="AV288" s="33"/>
      <c r="AW288" s="33"/>
      <c r="AX288" s="33"/>
      <c r="AY288" s="33"/>
      <c r="AZ288" s="33"/>
      <c r="BA288" s="33"/>
      <c r="BB288" s="33"/>
      <c r="BC288" s="125"/>
      <c r="BD288" s="129"/>
      <c r="BE288" s="33"/>
      <c r="BF288" s="33"/>
      <c r="BG288" s="33"/>
    </row>
    <row r="289" spans="1:59" s="131" customFormat="1" ht="12.75" customHeight="1" thickBot="1">
      <c r="A289" s="145" t="s">
        <v>80</v>
      </c>
      <c r="B289" s="130"/>
      <c r="C289" s="130"/>
      <c r="D289" s="152">
        <f>D288+D183+D184</f>
        <v>80</v>
      </c>
      <c r="E289" s="152">
        <f t="shared" ref="E289:U289" si="272">E288+E183+E184</f>
        <v>80</v>
      </c>
      <c r="F289" s="152">
        <f t="shared" si="272"/>
        <v>80</v>
      </c>
      <c r="G289" s="152">
        <f t="shared" si="272"/>
        <v>80</v>
      </c>
      <c r="H289" s="152">
        <f t="shared" si="272"/>
        <v>80</v>
      </c>
      <c r="I289" s="152">
        <f t="shared" si="272"/>
        <v>80</v>
      </c>
      <c r="J289" s="152">
        <f t="shared" si="272"/>
        <v>80</v>
      </c>
      <c r="K289" s="152">
        <f t="shared" si="272"/>
        <v>80</v>
      </c>
      <c r="L289" s="152">
        <f t="shared" si="272"/>
        <v>80</v>
      </c>
      <c r="M289" s="152">
        <f t="shared" si="272"/>
        <v>80</v>
      </c>
      <c r="N289" s="152">
        <f t="shared" si="272"/>
        <v>80</v>
      </c>
      <c r="O289" s="152">
        <f t="shared" si="272"/>
        <v>80</v>
      </c>
      <c r="P289" s="152">
        <f t="shared" si="272"/>
        <v>80</v>
      </c>
      <c r="Q289" s="152">
        <f t="shared" si="272"/>
        <v>80</v>
      </c>
      <c r="R289" s="152">
        <f t="shared" si="272"/>
        <v>80</v>
      </c>
      <c r="S289" s="152">
        <f t="shared" si="272"/>
        <v>80</v>
      </c>
      <c r="T289" s="152">
        <f t="shared" si="272"/>
        <v>80</v>
      </c>
      <c r="U289" s="152">
        <f t="shared" si="272"/>
        <v>80</v>
      </c>
      <c r="V289" s="5"/>
      <c r="W289" s="5"/>
      <c r="X289" s="177"/>
      <c r="Y289" s="33"/>
      <c r="Z289" s="33"/>
      <c r="AA289" s="33"/>
      <c r="AB289" s="33"/>
      <c r="AC289" s="33"/>
      <c r="AD289" s="33"/>
      <c r="AE289" s="33"/>
      <c r="AF289" s="33"/>
      <c r="AG289" s="33"/>
      <c r="AH289" s="33"/>
      <c r="AI289" s="33"/>
      <c r="AJ289" s="33"/>
      <c r="AK289" s="33"/>
      <c r="AL289" s="33"/>
      <c r="AM289" s="33"/>
      <c r="AN289" s="33"/>
      <c r="AO289" s="33"/>
      <c r="AP289" s="33"/>
      <c r="AQ289" s="33"/>
      <c r="AR289" s="33"/>
      <c r="AS289" s="33"/>
      <c r="AT289" s="33"/>
      <c r="AU289" s="33"/>
      <c r="AV289" s="33"/>
      <c r="AW289" s="33"/>
      <c r="AX289" s="33"/>
      <c r="AY289" s="33"/>
      <c r="AZ289" s="33"/>
      <c r="BA289" s="33"/>
      <c r="BB289" s="33"/>
      <c r="BC289" s="125"/>
      <c r="BD289" s="129"/>
      <c r="BE289" s="127"/>
      <c r="BF289" s="175"/>
      <c r="BG289" s="175"/>
    </row>
    <row r="290" spans="1:59" s="130" customFormat="1" ht="11.25" customHeight="1" thickBot="1">
      <c r="A290" s="98" t="s">
        <v>210</v>
      </c>
      <c r="C290" s="92"/>
      <c r="D290" s="99">
        <f ca="1">D282+(D285+D286+D287)/D288/D254</f>
        <v>690.15842249203001</v>
      </c>
      <c r="E290" s="99">
        <f t="shared" ref="E290:U290" ca="1" si="273">E282+(E285+E286+E287)/E288/E254</f>
        <v>656.50928182351004</v>
      </c>
      <c r="F290" s="99">
        <f t="shared" ca="1" si="273"/>
        <v>468.64464090483324</v>
      </c>
      <c r="G290" s="99">
        <f t="shared" ca="1" si="273"/>
        <v>1091.1825735789846</v>
      </c>
      <c r="H290" s="99">
        <f t="shared" ca="1" si="273"/>
        <v>258.0599584723127</v>
      </c>
      <c r="I290" s="99">
        <f t="shared" ca="1" si="273"/>
        <v>290.0131920703127</v>
      </c>
      <c r="J290" s="99">
        <f t="shared" ca="1" si="273"/>
        <v>515.4644059691941</v>
      </c>
      <c r="K290" s="99">
        <f t="shared" ca="1" si="273"/>
        <v>1174.1700084940437</v>
      </c>
      <c r="L290" s="99">
        <f t="shared" ca="1" si="273"/>
        <v>535.77892435897422</v>
      </c>
      <c r="M290" s="99">
        <f t="shared" ca="1" si="273"/>
        <v>1192.7417026385149</v>
      </c>
      <c r="N290" s="99">
        <f t="shared" ca="1" si="273"/>
        <v>332.87602986114507</v>
      </c>
      <c r="O290" s="99">
        <f t="shared" ca="1" si="273"/>
        <v>1063.1587827921892</v>
      </c>
      <c r="P290" s="99">
        <f t="shared" ca="1" si="273"/>
        <v>791.26109752878892</v>
      </c>
      <c r="Q290" s="99">
        <f t="shared" ca="1" si="273"/>
        <v>844.92830752854798</v>
      </c>
      <c r="R290" s="99">
        <f t="shared" ca="1" si="273"/>
        <v>1129.1582221841827</v>
      </c>
      <c r="S290" s="99">
        <f t="shared" si="273"/>
        <v>132.181774242241</v>
      </c>
      <c r="T290" s="99">
        <f t="shared" si="273"/>
        <v>132.181774242241</v>
      </c>
      <c r="U290" s="99">
        <f t="shared" ca="1" si="273"/>
        <v>783.58028320098776</v>
      </c>
      <c r="V290" s="132"/>
      <c r="W290" s="132"/>
      <c r="X290" s="177"/>
      <c r="Y290" s="33"/>
      <c r="Z290" s="33"/>
      <c r="AA290" s="33"/>
      <c r="AB290" s="33"/>
      <c r="AC290" s="33"/>
      <c r="AD290" s="33"/>
      <c r="AE290" s="33"/>
      <c r="AF290" s="33"/>
      <c r="AG290" s="33"/>
      <c r="AH290" s="33"/>
      <c r="AI290" s="33"/>
      <c r="AJ290" s="33"/>
      <c r="AK290" s="180"/>
      <c r="AL290" s="33"/>
      <c r="AM290" s="33"/>
      <c r="AN290" s="33"/>
      <c r="AO290" s="33"/>
      <c r="AP290" s="33"/>
      <c r="AQ290" s="33"/>
      <c r="AR290" s="310"/>
      <c r="AS290" s="310"/>
      <c r="AT290" s="310"/>
      <c r="AU290" s="310"/>
      <c r="AV290" s="310"/>
      <c r="AW290" s="310"/>
      <c r="AX290" s="310"/>
      <c r="AY290" s="310"/>
      <c r="AZ290" s="310"/>
      <c r="BA290" s="310"/>
      <c r="BB290" s="310"/>
      <c r="BC290" s="129"/>
      <c r="BD290" s="33"/>
      <c r="BE290" s="33"/>
      <c r="BF290" s="33"/>
      <c r="BG290" s="33"/>
    </row>
    <row r="291" spans="1:59" s="128" customFormat="1" ht="13.5" customHeight="1" thickBot="1">
      <c r="A291" s="160" t="s">
        <v>211</v>
      </c>
      <c r="B291" s="130"/>
      <c r="D291" s="81">
        <f t="array" ref="D291">IF($B$1&gt;0,$D290+SUM(E290:U290*E254:U254)/$D254,0)</f>
        <v>0</v>
      </c>
      <c r="E291" s="88"/>
      <c r="F291" s="88"/>
      <c r="G291" s="88"/>
      <c r="H291" s="82"/>
      <c r="I291" s="82"/>
      <c r="J291" s="82"/>
      <c r="K291" s="82"/>
      <c r="L291" s="88"/>
      <c r="M291" s="82"/>
      <c r="N291" s="82"/>
      <c r="O291" s="82"/>
      <c r="P291" s="82"/>
      <c r="Q291" s="82"/>
      <c r="R291" s="82"/>
      <c r="S291" s="82"/>
      <c r="T291" s="82"/>
      <c r="U291" s="82"/>
      <c r="V291" s="132"/>
      <c r="W291" s="132"/>
      <c r="X291" s="177"/>
      <c r="Y291" s="33"/>
      <c r="Z291" s="33"/>
      <c r="AA291" s="33"/>
      <c r="AB291" s="33"/>
      <c r="AC291" s="33"/>
      <c r="AD291" s="33"/>
      <c r="AE291" s="33"/>
      <c r="AF291" s="33"/>
      <c r="AG291" s="33"/>
      <c r="AH291" s="33"/>
      <c r="AI291" s="33"/>
      <c r="AJ291" s="33"/>
      <c r="AK291" s="33"/>
      <c r="AL291" s="33"/>
      <c r="AM291" s="33"/>
      <c r="AN291" s="33"/>
      <c r="AO291" s="33"/>
      <c r="AP291" s="33"/>
      <c r="AQ291" s="33"/>
      <c r="AR291" s="310"/>
      <c r="AS291" s="310"/>
      <c r="AT291" s="310"/>
      <c r="AU291" s="310"/>
      <c r="AV291" s="310"/>
      <c r="AW291" s="310"/>
      <c r="AX291" s="310"/>
      <c r="AY291" s="310"/>
      <c r="AZ291" s="310"/>
      <c r="BA291" s="310"/>
      <c r="BB291" s="310"/>
      <c r="BC291" s="33"/>
    </row>
    <row r="292" spans="1:59" s="128" customFormat="1" ht="12.75" customHeight="1" thickBot="1">
      <c r="A292" s="82"/>
      <c r="B292" s="130"/>
      <c r="C292" s="92"/>
      <c r="D292" s="82"/>
      <c r="E292" s="82"/>
      <c r="F292" s="82"/>
      <c r="G292" s="82"/>
      <c r="H292" s="82"/>
      <c r="I292" s="82"/>
      <c r="J292" s="82"/>
      <c r="K292" s="82"/>
      <c r="L292" s="82"/>
      <c r="M292" s="82"/>
      <c r="N292" s="82"/>
      <c r="O292" s="82"/>
      <c r="P292" s="82"/>
      <c r="Q292" s="82"/>
      <c r="R292" s="82"/>
      <c r="S292" s="82"/>
      <c r="T292" s="82"/>
      <c r="U292" s="82"/>
      <c r="V292" s="132"/>
      <c r="W292" s="132"/>
      <c r="X292" s="177"/>
      <c r="Y292" s="33"/>
      <c r="Z292" s="33"/>
      <c r="AA292" s="33"/>
      <c r="AB292" s="33"/>
      <c r="AC292" s="33"/>
      <c r="AD292" s="33"/>
      <c r="AE292" s="33"/>
      <c r="AF292" s="33"/>
      <c r="AG292" s="33"/>
      <c r="AH292" s="33"/>
      <c r="AI292" s="33"/>
      <c r="AJ292" s="33"/>
      <c r="AK292" s="33"/>
      <c r="AL292" s="33"/>
      <c r="AM292" s="33"/>
      <c r="AN292" s="33"/>
      <c r="AO292" s="33"/>
      <c r="AP292" s="33"/>
      <c r="AQ292" s="33"/>
      <c r="AR292" s="310"/>
      <c r="AS292" s="310"/>
      <c r="AT292" s="310"/>
      <c r="AU292" s="310"/>
      <c r="AV292" s="310"/>
      <c r="AW292" s="310"/>
      <c r="AX292" s="310"/>
      <c r="AY292" s="310"/>
      <c r="AZ292" s="310"/>
      <c r="BA292" s="310"/>
      <c r="BB292" s="310"/>
      <c r="BC292" s="33"/>
    </row>
    <row r="293" spans="1:59" s="131" customFormat="1" ht="12" customHeight="1">
      <c r="A293" s="188" t="s">
        <v>81</v>
      </c>
      <c r="B293" s="130"/>
      <c r="C293" s="130"/>
      <c r="D293" s="190">
        <f ca="1">ROUND((-D156+D347+D158-D164)*D185+(D270-D282)*D288+100*D248*D254*IF(AND($B$1&gt;0,D138&lt;0.001),0,1),2)</f>
        <v>87561.919999999998</v>
      </c>
      <c r="E293" s="190">
        <f t="shared" ref="E293:U293" ca="1" si="274">ROUND((-E156+E347+E158-E164)*E185+(E270-E282)*E288+100*E248*E254*IF(AND($B$1&gt;0,E138&lt;0.001),0,1),2)</f>
        <v>87402.74</v>
      </c>
      <c r="F293" s="190">
        <f t="shared" ca="1" si="274"/>
        <v>110441.58</v>
      </c>
      <c r="G293" s="190">
        <f t="shared" ca="1" si="274"/>
        <v>221365.15</v>
      </c>
      <c r="H293" s="190">
        <f t="shared" ca="1" si="274"/>
        <v>29081.49</v>
      </c>
      <c r="I293" s="190">
        <f t="shared" ca="1" si="274"/>
        <v>29108</v>
      </c>
      <c r="J293" s="190">
        <f t="shared" ca="1" si="274"/>
        <v>117636.06</v>
      </c>
      <c r="K293" s="190">
        <f t="shared" ca="1" si="274"/>
        <v>221605.61</v>
      </c>
      <c r="L293" s="190">
        <f t="shared" ca="1" si="274"/>
        <v>75791.53</v>
      </c>
      <c r="M293" s="190">
        <f t="shared" ca="1" si="274"/>
        <v>247798.82</v>
      </c>
      <c r="N293" s="190">
        <f t="shared" ca="1" si="274"/>
        <v>59208.88</v>
      </c>
      <c r="O293" s="190">
        <f t="shared" ca="1" si="274"/>
        <v>227355.99</v>
      </c>
      <c r="P293" s="190">
        <f t="shared" ca="1" si="274"/>
        <v>216435.37</v>
      </c>
      <c r="Q293" s="190">
        <f t="shared" ca="1" si="274"/>
        <v>148242.65</v>
      </c>
      <c r="R293" s="190">
        <f t="shared" ca="1" si="274"/>
        <v>241828.36</v>
      </c>
      <c r="S293" s="190">
        <f t="shared" ca="1" si="274"/>
        <v>26087.64</v>
      </c>
      <c r="T293" s="190">
        <f t="shared" ca="1" si="274"/>
        <v>26087.64</v>
      </c>
      <c r="U293" s="190">
        <f t="shared" ca="1" si="274"/>
        <v>205985.76</v>
      </c>
      <c r="V293" s="5"/>
      <c r="W293" s="5"/>
      <c r="X293" s="177"/>
      <c r="Y293" s="33"/>
      <c r="Z293" s="33"/>
      <c r="AA293" s="33"/>
      <c r="AB293" s="33"/>
      <c r="AC293" s="33"/>
      <c r="AD293" s="33"/>
      <c r="AE293" s="33"/>
      <c r="AF293" s="33"/>
      <c r="AG293" s="33"/>
      <c r="AH293" s="33"/>
      <c r="AI293" s="33"/>
      <c r="AJ293" s="33"/>
      <c r="AK293" s="33"/>
      <c r="AL293" s="33"/>
      <c r="AM293" s="33"/>
      <c r="AN293" s="33"/>
      <c r="AO293" s="33"/>
      <c r="AP293" s="33"/>
      <c r="AQ293" s="33"/>
      <c r="AR293" s="310"/>
      <c r="AS293" s="310"/>
      <c r="AT293" s="310"/>
      <c r="AU293" s="310"/>
      <c r="AV293" s="310"/>
      <c r="AW293" s="310"/>
      <c r="AX293" s="310"/>
      <c r="AY293" s="310"/>
      <c r="AZ293" s="310"/>
      <c r="BA293" s="310"/>
      <c r="BB293" s="310"/>
      <c r="BC293" s="129"/>
      <c r="BD293" s="33"/>
      <c r="BE293" s="33"/>
      <c r="BF293" s="33"/>
      <c r="BG293" s="33"/>
    </row>
    <row r="294" spans="1:59" s="131" customFormat="1" ht="14.25" customHeight="1">
      <c r="A294" s="144" t="s">
        <v>214</v>
      </c>
      <c r="B294" s="130"/>
      <c r="C294" s="130"/>
      <c r="D294" s="87">
        <f t="shared" ref="D294" ca="1" si="275">ROUND(D282*D288*D254+D285+D286,2)</f>
        <v>96051.3</v>
      </c>
      <c r="E294" s="87">
        <f t="shared" ref="E294:U294" ca="1" si="276">ROUND(E282*E288*E254+E285+E286,2)</f>
        <v>90802.04</v>
      </c>
      <c r="F294" s="87">
        <f t="shared" si="276"/>
        <v>60915.81</v>
      </c>
      <c r="G294" s="87">
        <f t="shared" si="276"/>
        <v>157880.51</v>
      </c>
      <c r="H294" s="87">
        <f t="shared" ca="1" si="276"/>
        <v>24442.13</v>
      </c>
      <c r="I294" s="87">
        <f t="shared" ca="1" si="276"/>
        <v>29426.83</v>
      </c>
      <c r="J294" s="87">
        <f t="shared" si="276"/>
        <v>64176.06</v>
      </c>
      <c r="K294" s="87">
        <f t="shared" si="276"/>
        <v>166624.73000000001</v>
      </c>
      <c r="L294" s="87">
        <f t="shared" si="276"/>
        <v>67216.23</v>
      </c>
      <c r="M294" s="87">
        <f t="shared" ca="1" si="276"/>
        <v>171732.88</v>
      </c>
      <c r="N294" s="87">
        <f t="shared" ca="1" si="276"/>
        <v>37445.57</v>
      </c>
      <c r="O294" s="87">
        <f t="shared" si="276"/>
        <v>150599.9</v>
      </c>
      <c r="P294" s="87">
        <f t="shared" si="276"/>
        <v>107707.57</v>
      </c>
      <c r="Q294" s="87">
        <f t="shared" ca="1" si="276"/>
        <v>117173.87</v>
      </c>
      <c r="R294" s="87">
        <f t="shared" ca="1" si="276"/>
        <v>161551.18</v>
      </c>
      <c r="S294" s="87">
        <f t="shared" si="276"/>
        <v>4645.53</v>
      </c>
      <c r="T294" s="87">
        <f t="shared" si="276"/>
        <v>4645.53</v>
      </c>
      <c r="U294" s="87">
        <f t="shared" ca="1" si="276"/>
        <v>106025.7</v>
      </c>
      <c r="V294" s="5"/>
      <c r="W294" s="5"/>
      <c r="X294" s="126"/>
      <c r="Y294" s="33"/>
      <c r="Z294" s="33"/>
      <c r="AA294" s="33"/>
      <c r="AB294" s="33"/>
      <c r="AC294" s="33"/>
      <c r="AD294" s="33"/>
      <c r="AE294" s="33"/>
      <c r="AF294" s="33"/>
      <c r="AG294" s="33"/>
      <c r="AH294" s="33"/>
      <c r="AI294" s="33"/>
      <c r="AJ294" s="33"/>
      <c r="AK294" s="33"/>
      <c r="AL294" s="33"/>
      <c r="AM294" s="33"/>
      <c r="AN294" s="33"/>
      <c r="AO294" s="33"/>
      <c r="AP294" s="33"/>
      <c r="AQ294" s="33"/>
      <c r="AR294" s="33"/>
      <c r="AS294" s="33"/>
      <c r="AT294" s="33"/>
      <c r="AU294" s="33"/>
      <c r="AV294" s="33"/>
      <c r="AW294" s="33"/>
      <c r="AX294" s="33"/>
      <c r="AY294" s="33"/>
      <c r="AZ294" s="33"/>
      <c r="BA294" s="33"/>
      <c r="BB294" s="33"/>
      <c r="BC294" s="33"/>
      <c r="BD294" s="33"/>
      <c r="BE294" s="33"/>
      <c r="BF294" s="33"/>
      <c r="BG294" s="33"/>
    </row>
    <row r="295" spans="1:59" s="131" customFormat="1" ht="12" customHeight="1" thickBot="1">
      <c r="A295" s="189" t="s">
        <v>82</v>
      </c>
      <c r="B295" s="4"/>
      <c r="C295" s="130"/>
      <c r="D295" s="191">
        <f ca="1">IFERROR(D294/D293,0)</f>
        <v>1.0969528763188381</v>
      </c>
      <c r="E295" s="191">
        <f t="shared" ref="E295:U295" ca="1" si="277">IFERROR(E294/E293,0)</f>
        <v>1.0388923733969895</v>
      </c>
      <c r="F295" s="191">
        <f t="shared" ca="1" si="277"/>
        <v>0.55156590479781253</v>
      </c>
      <c r="G295" s="191">
        <f t="shared" ca="1" si="277"/>
        <v>0.7132130328554428</v>
      </c>
      <c r="H295" s="191">
        <f t="shared" ca="1" si="277"/>
        <v>0.84047034728963332</v>
      </c>
      <c r="I295" s="191">
        <f t="shared" ca="1" si="277"/>
        <v>1.0109533461591316</v>
      </c>
      <c r="J295" s="191">
        <f t="shared" ca="1" si="277"/>
        <v>0.54554751323701256</v>
      </c>
      <c r="K295" s="191">
        <f t="shared" ca="1" si="277"/>
        <v>0.75189761667134702</v>
      </c>
      <c r="L295" s="191">
        <f t="shared" ca="1" si="277"/>
        <v>0.88685675035191924</v>
      </c>
      <c r="M295" s="191">
        <f t="shared" ca="1" si="277"/>
        <v>0.69303348579303159</v>
      </c>
      <c r="N295" s="191">
        <f t="shared" ca="1" si="277"/>
        <v>0.63243165552194203</v>
      </c>
      <c r="O295" s="191">
        <f t="shared" ca="1" si="277"/>
        <v>0.66239688692609333</v>
      </c>
      <c r="P295" s="191">
        <f t="shared" ca="1" si="277"/>
        <v>0.49764310703929771</v>
      </c>
      <c r="Q295" s="191">
        <f t="shared" ca="1" si="277"/>
        <v>0.79041942382978181</v>
      </c>
      <c r="R295" s="191">
        <f t="shared" ca="1" si="277"/>
        <v>0.66804067149113533</v>
      </c>
      <c r="S295" s="191">
        <f t="shared" ca="1" si="277"/>
        <v>0.1780739844616071</v>
      </c>
      <c r="T295" s="191">
        <f t="shared" ca="1" si="277"/>
        <v>0.1780739844616071</v>
      </c>
      <c r="U295" s="191">
        <f t="shared" ca="1" si="277"/>
        <v>0.51472344496046718</v>
      </c>
      <c r="V295" s="5"/>
      <c r="W295" s="5"/>
      <c r="X295" s="177"/>
      <c r="Y295" s="33"/>
      <c r="Z295" s="33"/>
      <c r="AA295" s="33"/>
      <c r="AB295" s="33"/>
      <c r="AC295" s="33"/>
      <c r="AD295" s="33"/>
      <c r="AE295" s="141"/>
      <c r="AF295" s="33"/>
      <c r="AG295" s="33"/>
      <c r="AH295" s="33"/>
      <c r="AI295" s="33"/>
      <c r="AJ295" s="33"/>
      <c r="AK295" s="33"/>
      <c r="AL295" s="33"/>
      <c r="AM295" s="33"/>
      <c r="AN295" s="33"/>
      <c r="AO295" s="33"/>
      <c r="AP295" s="33"/>
      <c r="AQ295" s="33"/>
      <c r="AR295" s="33"/>
      <c r="AS295" s="33"/>
      <c r="AT295" s="33"/>
      <c r="AU295" s="33"/>
      <c r="AV295" s="33"/>
      <c r="AW295" s="33"/>
      <c r="AX295" s="33"/>
      <c r="AY295" s="33"/>
      <c r="AZ295" s="33"/>
      <c r="BA295" s="33"/>
      <c r="BB295" s="33"/>
      <c r="BC295" s="33"/>
      <c r="BD295" s="130"/>
      <c r="BE295" s="130"/>
      <c r="BF295" s="130"/>
      <c r="BG295" s="130"/>
    </row>
    <row r="296" spans="1:59" ht="12" customHeight="1">
      <c r="A296" s="393" t="s">
        <v>215</v>
      </c>
      <c r="D296" s="394">
        <f>IFERROR(IF($B$1&gt;0,SUM(D294:U294)/SUM(D293:U293),0),0)</f>
        <v>0</v>
      </c>
      <c r="E296" s="115"/>
      <c r="F296" s="115"/>
      <c r="G296" s="115"/>
      <c r="H296" s="115"/>
      <c r="I296" s="115"/>
      <c r="J296" s="115"/>
      <c r="K296" s="115"/>
      <c r="L296" s="115"/>
      <c r="M296" s="115"/>
      <c r="N296" s="115"/>
      <c r="O296" s="115"/>
      <c r="P296" s="115"/>
      <c r="Q296" s="115"/>
      <c r="R296" s="115"/>
      <c r="S296" s="115"/>
      <c r="T296" s="115"/>
      <c r="U296" s="115"/>
      <c r="X296" s="126"/>
      <c r="Y296" s="127"/>
      <c r="Z296" s="127"/>
      <c r="AA296" s="127"/>
      <c r="AB296" s="127"/>
      <c r="AC296" s="127"/>
      <c r="AD296" s="127"/>
      <c r="AE296" s="127"/>
      <c r="AF296" s="127"/>
      <c r="AG296" s="127"/>
      <c r="AH296" s="127"/>
      <c r="AI296" s="127"/>
      <c r="AJ296" s="127"/>
      <c r="AK296" s="127"/>
      <c r="AL296" s="127"/>
      <c r="AM296" s="127"/>
      <c r="AN296" s="127"/>
      <c r="AP296" s="127"/>
      <c r="AQ296" s="127"/>
      <c r="AR296" s="127"/>
      <c r="AS296" s="127"/>
      <c r="AT296" s="127"/>
      <c r="AU296" s="127"/>
      <c r="AV296" s="127"/>
      <c r="AW296" s="127"/>
      <c r="AX296" s="127"/>
      <c r="AY296" s="127"/>
      <c r="AZ296" s="127"/>
      <c r="BA296" s="127"/>
      <c r="BB296" s="127"/>
      <c r="BC296" s="127"/>
      <c r="BD296" s="131"/>
      <c r="BE296" s="131"/>
      <c r="BF296" s="131"/>
      <c r="BG296" s="131"/>
    </row>
    <row r="297" spans="1:59" ht="12" customHeight="1">
      <c r="A297" s="100"/>
      <c r="D297" s="115"/>
      <c r="E297" s="115"/>
      <c r="F297" s="115"/>
      <c r="G297" s="115"/>
      <c r="H297" s="115"/>
      <c r="I297" s="115"/>
      <c r="J297" s="115"/>
      <c r="K297" s="115"/>
      <c r="L297" s="115"/>
      <c r="M297" s="115"/>
      <c r="N297" s="115"/>
      <c r="O297" s="115"/>
      <c r="P297" s="115"/>
      <c r="Q297" s="115"/>
      <c r="R297" s="115"/>
      <c r="S297" s="115"/>
      <c r="T297" s="115"/>
      <c r="U297" s="115"/>
      <c r="X297" s="126"/>
      <c r="Y297" s="127"/>
      <c r="Z297" s="127"/>
      <c r="AA297" s="127"/>
      <c r="AB297" s="127"/>
      <c r="AC297" s="127"/>
      <c r="AD297" s="127"/>
      <c r="AE297" s="127"/>
      <c r="AF297" s="127"/>
      <c r="AG297" s="127"/>
      <c r="AH297" s="127"/>
      <c r="AI297" s="127"/>
      <c r="AJ297" s="127"/>
      <c r="AK297" s="127"/>
      <c r="AL297" s="127"/>
      <c r="AM297" s="127"/>
      <c r="AN297" s="127"/>
      <c r="AP297" s="127"/>
      <c r="AQ297" s="127"/>
      <c r="AR297" s="127"/>
      <c r="AS297" s="127"/>
      <c r="AT297" s="127"/>
      <c r="AU297" s="127"/>
      <c r="AV297" s="127"/>
      <c r="AW297" s="127"/>
      <c r="AX297" s="127"/>
      <c r="AY297" s="127"/>
      <c r="AZ297" s="127"/>
      <c r="BA297" s="127"/>
      <c r="BB297" s="127"/>
      <c r="BC297" s="127"/>
      <c r="BD297" s="131"/>
      <c r="BE297" s="131"/>
      <c r="BF297" s="131"/>
      <c r="BG297" s="131"/>
    </row>
    <row r="298" spans="1:59" ht="12" customHeight="1">
      <c r="A298" s="60"/>
      <c r="C298" s="115" t="s">
        <v>29</v>
      </c>
      <c r="D298" s="101" t="s">
        <v>30</v>
      </c>
      <c r="E298" s="101" t="s">
        <v>30</v>
      </c>
      <c r="F298" s="101" t="s">
        <v>30</v>
      </c>
      <c r="G298" s="101" t="s">
        <v>30</v>
      </c>
      <c r="H298" s="101" t="s">
        <v>30</v>
      </c>
      <c r="I298" s="101" t="s">
        <v>30</v>
      </c>
      <c r="J298" s="101" t="s">
        <v>30</v>
      </c>
      <c r="K298" s="101" t="s">
        <v>30</v>
      </c>
      <c r="L298" s="115"/>
      <c r="M298" s="115"/>
      <c r="N298" s="115"/>
      <c r="O298" s="115"/>
      <c r="P298" s="115"/>
      <c r="BD298" s="131"/>
      <c r="BE298" s="131"/>
      <c r="BF298" s="131"/>
      <c r="BG298" s="131"/>
    </row>
    <row r="299" spans="1:59" s="127" customFormat="1" ht="12" customHeight="1">
      <c r="A299" s="60"/>
      <c r="B299" s="102">
        <v>0</v>
      </c>
      <c r="C299" s="364">
        <v>0.11550000000000001</v>
      </c>
      <c r="D299" s="103">
        <f t="shared" ref="D299:K299" si="278">D113*D124</f>
        <v>11000</v>
      </c>
      <c r="E299" s="103">
        <f t="shared" si="278"/>
        <v>11000</v>
      </c>
      <c r="F299" s="103">
        <f t="shared" si="278"/>
        <v>11000</v>
      </c>
      <c r="G299" s="103">
        <f t="shared" si="278"/>
        <v>11000</v>
      </c>
      <c r="H299" s="103">
        <f t="shared" si="278"/>
        <v>12000</v>
      </c>
      <c r="I299" s="103">
        <f t="shared" si="278"/>
        <v>12000</v>
      </c>
      <c r="J299" s="103">
        <f t="shared" si="278"/>
        <v>12000</v>
      </c>
      <c r="K299" s="103">
        <f t="shared" si="278"/>
        <v>12000</v>
      </c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4"/>
      <c r="W299" s="4"/>
      <c r="X299" s="181"/>
      <c r="Y299" s="128"/>
      <c r="Z299" s="186"/>
      <c r="AA299" s="128"/>
      <c r="AB299" s="128"/>
      <c r="AC299" s="128"/>
      <c r="AD299" s="128"/>
      <c r="AE299" s="128"/>
      <c r="AF299" s="128"/>
      <c r="AG299" s="128"/>
      <c r="AH299" s="128"/>
      <c r="AI299" s="128"/>
      <c r="AJ299" s="128"/>
      <c r="AK299" s="128"/>
      <c r="AL299" s="128"/>
      <c r="AM299" s="128"/>
      <c r="AN299" s="128"/>
      <c r="AO299" s="128"/>
      <c r="AP299" s="128"/>
      <c r="AQ299" s="128"/>
      <c r="AR299" s="128"/>
      <c r="AS299" s="128"/>
      <c r="AT299" s="128"/>
      <c r="AU299" s="128"/>
      <c r="AV299" s="128"/>
      <c r="AW299" s="128"/>
      <c r="AX299" s="128"/>
      <c r="AY299" s="128"/>
      <c r="AZ299" s="128"/>
      <c r="BA299" s="128"/>
      <c r="BB299" s="128"/>
      <c r="BC299" s="128"/>
      <c r="BD299" s="131"/>
      <c r="BE299" s="131"/>
      <c r="BF299" s="131"/>
      <c r="BG299" s="131"/>
    </row>
    <row r="300" spans="1:59" ht="11.25" customHeight="1">
      <c r="A300" s="60"/>
      <c r="B300" s="102">
        <v>15.01</v>
      </c>
      <c r="C300" s="365">
        <v>0.1239</v>
      </c>
      <c r="D300" s="104">
        <f t="shared" ref="D300:F346" si="279">D299-(D447-D397)</f>
        <v>3967</v>
      </c>
      <c r="E300" s="104">
        <f t="shared" ref="E300" si="280">E299-(E447-E397)</f>
        <v>3967</v>
      </c>
      <c r="F300" s="104">
        <f t="shared" si="279"/>
        <v>3967</v>
      </c>
      <c r="G300" s="104">
        <f t="shared" ref="G300" si="281">G299-(G447-G397)</f>
        <v>3967</v>
      </c>
      <c r="H300" s="104">
        <f t="shared" ref="H300:K346" si="282">H299-(H447-H397)</f>
        <v>4967</v>
      </c>
      <c r="I300" s="104">
        <f t="shared" ref="I300" si="283">I299-(I447-I397)</f>
        <v>4967</v>
      </c>
      <c r="J300" s="104">
        <f t="shared" ref="J300" si="284">J299-(J447-J397)</f>
        <v>4967</v>
      </c>
      <c r="K300" s="104">
        <f t="shared" si="282"/>
        <v>4967</v>
      </c>
      <c r="X300" s="182"/>
      <c r="Y300" s="129"/>
      <c r="Z300" s="129"/>
      <c r="AA300" s="129"/>
      <c r="AB300" s="129"/>
      <c r="AC300" s="129"/>
      <c r="AD300" s="129"/>
      <c r="AE300" s="129"/>
      <c r="AF300" s="129"/>
      <c r="AG300" s="129"/>
      <c r="AH300" s="129"/>
      <c r="AI300" s="129"/>
      <c r="AJ300" s="129"/>
      <c r="AK300" s="129"/>
      <c r="AL300" s="129"/>
      <c r="AM300" s="129"/>
      <c r="AN300" s="129"/>
      <c r="AO300" s="129"/>
      <c r="AP300" s="129"/>
      <c r="AQ300" s="129"/>
      <c r="AR300" s="129"/>
      <c r="AS300" s="129"/>
      <c r="AT300" s="129"/>
      <c r="AU300" s="129"/>
      <c r="AV300" s="129"/>
      <c r="AW300" s="129"/>
      <c r="AX300" s="129"/>
      <c r="AY300" s="129"/>
      <c r="AZ300" s="129"/>
      <c r="BA300" s="129"/>
      <c r="BB300" s="129"/>
      <c r="BC300" s="129"/>
      <c r="BD300" s="131"/>
      <c r="BE300" s="131"/>
      <c r="BF300" s="131"/>
      <c r="BG300" s="131"/>
    </row>
    <row r="301" spans="1:59">
      <c r="A301" s="60"/>
      <c r="B301" s="102">
        <v>16.010000000000002</v>
      </c>
      <c r="C301" s="365">
        <v>0.1323</v>
      </c>
      <c r="D301" s="104">
        <f t="shared" si="279"/>
        <v>-1999.9899999999998</v>
      </c>
      <c r="E301" s="104">
        <f t="shared" ref="E301" si="285">E300-(E448-E398)</f>
        <v>-1999.9899999999998</v>
      </c>
      <c r="F301" s="104">
        <f t="shared" si="279"/>
        <v>-1999.9899999999998</v>
      </c>
      <c r="G301" s="104">
        <f t="shared" ref="G301" si="286">G300-(G448-G398)</f>
        <v>-1999.9899999999998</v>
      </c>
      <c r="H301" s="104">
        <f t="shared" si="282"/>
        <v>-999.98999999999978</v>
      </c>
      <c r="I301" s="104">
        <f t="shared" ref="I301" si="287">I300-(I448-I398)</f>
        <v>-999.98999999999978</v>
      </c>
      <c r="J301" s="104">
        <f t="shared" ref="J301" si="288">J300-(J448-J398)</f>
        <v>-999.98999999999978</v>
      </c>
      <c r="K301" s="104">
        <f t="shared" si="282"/>
        <v>-999.98999999999978</v>
      </c>
      <c r="X301" s="182"/>
      <c r="Y301" s="129"/>
      <c r="Z301" s="129"/>
      <c r="AA301" s="129"/>
      <c r="AB301" s="129"/>
      <c r="AC301" s="129"/>
      <c r="AD301" s="129"/>
      <c r="AE301" s="129"/>
      <c r="AF301" s="129"/>
      <c r="AG301" s="129"/>
      <c r="AH301" s="129"/>
      <c r="AI301" s="129"/>
      <c r="AJ301" s="129"/>
      <c r="AK301" s="129"/>
      <c r="AL301" s="129"/>
      <c r="AM301" s="129"/>
      <c r="AN301" s="129"/>
      <c r="AO301" s="129"/>
      <c r="AP301" s="129"/>
      <c r="AQ301" s="129"/>
      <c r="AR301" s="129"/>
      <c r="AS301" s="129"/>
      <c r="AT301" s="129"/>
      <c r="AU301" s="129"/>
      <c r="AV301" s="129"/>
      <c r="AW301" s="129"/>
      <c r="AX301" s="129"/>
      <c r="AY301" s="129"/>
      <c r="AZ301" s="130"/>
      <c r="BA301" s="130"/>
      <c r="BB301" s="130"/>
      <c r="BC301" s="129"/>
      <c r="BD301" s="130"/>
      <c r="BE301" s="130"/>
      <c r="BF301" s="130"/>
      <c r="BG301" s="130"/>
    </row>
    <row r="302" spans="1:59">
      <c r="A302" s="60"/>
      <c r="B302" s="102">
        <v>17.010000000000002</v>
      </c>
      <c r="C302" s="365">
        <v>0.14069999999999999</v>
      </c>
      <c r="D302" s="104">
        <f t="shared" si="279"/>
        <v>-2999.9799999999996</v>
      </c>
      <c r="E302" s="104">
        <f t="shared" ref="E302" si="289">E301-(E449-E399)</f>
        <v>-2999.9799999999996</v>
      </c>
      <c r="F302" s="104">
        <f t="shared" si="279"/>
        <v>-2999.9799999999996</v>
      </c>
      <c r="G302" s="104">
        <f t="shared" ref="G302" si="290">G301-(G449-G399)</f>
        <v>-2999.9799999999996</v>
      </c>
      <c r="H302" s="104">
        <f t="shared" si="282"/>
        <v>-1999.9799999999996</v>
      </c>
      <c r="I302" s="104">
        <f t="shared" ref="I302" si="291">I301-(I449-I399)</f>
        <v>-1999.9799999999996</v>
      </c>
      <c r="J302" s="104">
        <f t="shared" ref="J302" si="292">J301-(J449-J399)</f>
        <v>-1999.9799999999996</v>
      </c>
      <c r="K302" s="104">
        <f t="shared" si="282"/>
        <v>-1999.9799999999996</v>
      </c>
      <c r="X302" s="182"/>
      <c r="Y302" s="129"/>
      <c r="Z302" s="129"/>
      <c r="AA302" s="129"/>
      <c r="AB302" s="129"/>
      <c r="AC302" s="129"/>
      <c r="AD302" s="129"/>
      <c r="AE302" s="129"/>
      <c r="AF302" s="129"/>
      <c r="AG302" s="129"/>
      <c r="AH302" s="129"/>
      <c r="AI302" s="129"/>
      <c r="AJ302" s="129"/>
      <c r="AK302" s="129"/>
      <c r="AL302" s="129"/>
      <c r="AM302" s="129"/>
      <c r="AN302" s="129"/>
      <c r="AO302" s="129"/>
      <c r="AP302" s="129"/>
      <c r="AQ302" s="129"/>
      <c r="AR302" s="129"/>
      <c r="AS302" s="129"/>
      <c r="AT302" s="129"/>
      <c r="AU302" s="129"/>
      <c r="AV302" s="129"/>
      <c r="AW302" s="129"/>
      <c r="AX302" s="129"/>
      <c r="AY302" s="129"/>
      <c r="AZ302" s="129"/>
      <c r="BA302" s="129"/>
      <c r="BB302" s="129"/>
      <c r="BC302" s="129"/>
      <c r="BD302" s="131"/>
      <c r="BE302" s="131"/>
      <c r="BF302" s="131"/>
      <c r="BG302" s="131"/>
    </row>
    <row r="303" spans="1:59" ht="11.25" customHeight="1">
      <c r="A303" s="60"/>
      <c r="B303" s="102">
        <v>18.010000000000002</v>
      </c>
      <c r="C303" s="365">
        <v>0.1497</v>
      </c>
      <c r="D303" s="104">
        <f t="shared" si="279"/>
        <v>-3999.9699999999993</v>
      </c>
      <c r="E303" s="104">
        <f t="shared" ref="E303" si="293">E302-(E450-E400)</f>
        <v>-3999.9699999999993</v>
      </c>
      <c r="F303" s="104">
        <f t="shared" si="279"/>
        <v>-3999.9699999999993</v>
      </c>
      <c r="G303" s="104">
        <f t="shared" ref="G303" si="294">G302-(G450-G400)</f>
        <v>-3999.9699999999993</v>
      </c>
      <c r="H303" s="104">
        <f t="shared" si="282"/>
        <v>-2999.9699999999993</v>
      </c>
      <c r="I303" s="104">
        <f t="shared" ref="I303" si="295">I302-(I450-I400)</f>
        <v>-2999.9699999999993</v>
      </c>
      <c r="J303" s="104">
        <f t="shared" ref="J303" si="296">J302-(J450-J400)</f>
        <v>-2999.9699999999993</v>
      </c>
      <c r="K303" s="104">
        <f t="shared" si="282"/>
        <v>-2999.9699999999993</v>
      </c>
      <c r="X303" s="182"/>
      <c r="Y303" s="129"/>
      <c r="Z303" s="129"/>
      <c r="AA303" s="129"/>
      <c r="AB303" s="129"/>
      <c r="AC303" s="129"/>
      <c r="AD303" s="129"/>
      <c r="AE303" s="129"/>
      <c r="AF303" s="129"/>
      <c r="AG303" s="129"/>
      <c r="AH303" s="129"/>
      <c r="AI303" s="129"/>
      <c r="AJ303" s="129"/>
      <c r="AK303" s="129"/>
      <c r="AL303" s="129"/>
      <c r="AM303" s="129"/>
      <c r="AN303" s="129"/>
      <c r="AO303" s="129"/>
      <c r="AP303" s="129"/>
      <c r="AQ303" s="129"/>
      <c r="AR303" s="129"/>
      <c r="AS303" s="129"/>
      <c r="AT303" s="129"/>
      <c r="AU303" s="129"/>
      <c r="AV303" s="129"/>
      <c r="AW303" s="129"/>
      <c r="AX303" s="129"/>
      <c r="AY303" s="129"/>
      <c r="AZ303" s="129"/>
      <c r="BA303" s="129"/>
      <c r="BB303" s="129"/>
      <c r="BC303" s="129"/>
      <c r="BD303" s="131"/>
      <c r="BE303" s="131"/>
      <c r="BF303" s="131"/>
      <c r="BG303" s="131"/>
    </row>
    <row r="304" spans="1:59" ht="11.25" customHeight="1">
      <c r="A304" s="60"/>
      <c r="B304" s="102">
        <v>19.010000000000002</v>
      </c>
      <c r="C304" s="365">
        <v>0.15870000000000001</v>
      </c>
      <c r="D304" s="104">
        <f t="shared" si="279"/>
        <v>-4999.9599999999991</v>
      </c>
      <c r="E304" s="104">
        <f t="shared" ref="E304" si="297">E303-(E451-E401)</f>
        <v>-4999.9599999999991</v>
      </c>
      <c r="F304" s="104">
        <f t="shared" si="279"/>
        <v>-4999.9599999999991</v>
      </c>
      <c r="G304" s="104">
        <f t="shared" ref="G304" si="298">G303-(G451-G401)</f>
        <v>-4999.9599999999991</v>
      </c>
      <c r="H304" s="104">
        <f t="shared" si="282"/>
        <v>-3999.9599999999991</v>
      </c>
      <c r="I304" s="104">
        <f t="shared" ref="I304" si="299">I303-(I451-I401)</f>
        <v>-3999.9599999999991</v>
      </c>
      <c r="J304" s="104">
        <f t="shared" ref="J304" si="300">J303-(J451-J401)</f>
        <v>-3999.9599999999991</v>
      </c>
      <c r="K304" s="104">
        <f t="shared" si="282"/>
        <v>-3999.9599999999991</v>
      </c>
      <c r="X304" s="182"/>
      <c r="Y304" s="129"/>
      <c r="Z304" s="129"/>
      <c r="AA304" s="129"/>
      <c r="AB304" s="129"/>
      <c r="AC304" s="129"/>
      <c r="AD304" s="129"/>
      <c r="AE304" s="129"/>
      <c r="AF304" s="129"/>
      <c r="AG304" s="129"/>
      <c r="AH304" s="129"/>
      <c r="AI304" s="129"/>
      <c r="AJ304" s="129"/>
      <c r="AK304" s="129"/>
      <c r="AL304" s="129"/>
      <c r="AM304" s="129"/>
      <c r="AN304" s="129"/>
      <c r="AO304" s="131"/>
      <c r="AP304" s="129"/>
      <c r="AQ304" s="129"/>
      <c r="AR304" s="129"/>
      <c r="AS304" s="129"/>
      <c r="AT304" s="129"/>
      <c r="AU304" s="129"/>
      <c r="AV304" s="129"/>
      <c r="AW304" s="129"/>
      <c r="AX304" s="129"/>
      <c r="AY304" s="129"/>
      <c r="AZ304" s="129"/>
      <c r="BA304" s="129"/>
      <c r="BB304" s="129"/>
      <c r="BC304" s="129"/>
      <c r="BD304" s="131"/>
      <c r="BE304" s="131"/>
      <c r="BF304" s="131"/>
      <c r="BG304" s="131"/>
    </row>
    <row r="305" spans="1:59" ht="11.25" customHeight="1">
      <c r="A305" s="60"/>
      <c r="B305" s="102">
        <v>20.010000000000002</v>
      </c>
      <c r="C305" s="365">
        <v>0.16769999999999999</v>
      </c>
      <c r="D305" s="104">
        <f t="shared" si="279"/>
        <v>-5999.9499999999989</v>
      </c>
      <c r="E305" s="104">
        <f t="shared" ref="E305" si="301">E304-(E452-E402)</f>
        <v>-5999.9499999999989</v>
      </c>
      <c r="F305" s="104">
        <f t="shared" si="279"/>
        <v>-5999.9499999999989</v>
      </c>
      <c r="G305" s="104">
        <f t="shared" ref="G305" si="302">G304-(G452-G402)</f>
        <v>-5999.9499999999989</v>
      </c>
      <c r="H305" s="104">
        <f t="shared" si="282"/>
        <v>-4999.9499999999989</v>
      </c>
      <c r="I305" s="104">
        <f t="shared" ref="I305" si="303">I304-(I452-I402)</f>
        <v>-4999.9499999999989</v>
      </c>
      <c r="J305" s="104">
        <f t="shared" ref="J305" si="304">J304-(J452-J402)</f>
        <v>-4999.9499999999989</v>
      </c>
      <c r="K305" s="104">
        <f t="shared" si="282"/>
        <v>-4999.9499999999989</v>
      </c>
      <c r="X305" s="183"/>
      <c r="Y305" s="130"/>
      <c r="Z305" s="130"/>
      <c r="AA305" s="130"/>
      <c r="AB305" s="130"/>
      <c r="AC305" s="130"/>
      <c r="AD305" s="130"/>
      <c r="AE305" s="130"/>
      <c r="AF305" s="130"/>
      <c r="AG305" s="130"/>
      <c r="AH305" s="130"/>
      <c r="AI305" s="130"/>
      <c r="AJ305" s="130"/>
      <c r="AK305" s="130"/>
      <c r="AL305" s="130"/>
      <c r="AM305" s="130"/>
      <c r="AN305" s="130"/>
      <c r="AO305" s="130"/>
      <c r="AP305" s="130"/>
      <c r="AQ305" s="130"/>
      <c r="AR305" s="130"/>
      <c r="AS305" s="130"/>
      <c r="AT305" s="130"/>
      <c r="AU305" s="130"/>
      <c r="AV305" s="130"/>
      <c r="AW305" s="130"/>
      <c r="AX305" s="130"/>
      <c r="AY305" s="130"/>
      <c r="AZ305" s="130"/>
      <c r="BA305" s="130"/>
      <c r="BB305" s="130"/>
      <c r="BC305" s="129"/>
    </row>
    <row r="306" spans="1:59" ht="11.25" customHeight="1">
      <c r="A306" s="60"/>
      <c r="B306" s="102">
        <v>21.01</v>
      </c>
      <c r="C306" s="365">
        <v>0.17730000000000001</v>
      </c>
      <c r="D306" s="104">
        <f t="shared" si="279"/>
        <v>-6999.9400000000005</v>
      </c>
      <c r="E306" s="104">
        <f t="shared" ref="E306" si="305">E305-(E453-E403)</f>
        <v>-6999.9400000000005</v>
      </c>
      <c r="F306" s="104">
        <f t="shared" si="279"/>
        <v>-6999.9400000000005</v>
      </c>
      <c r="G306" s="104">
        <f t="shared" ref="G306" si="306">G305-(G453-G403)</f>
        <v>-6999.9400000000005</v>
      </c>
      <c r="H306" s="104">
        <f t="shared" si="282"/>
        <v>-5999.9400000000005</v>
      </c>
      <c r="I306" s="104">
        <f t="shared" ref="I306" si="307">I305-(I453-I403)</f>
        <v>-5999.9400000000005</v>
      </c>
      <c r="J306" s="104">
        <f t="shared" ref="J306" si="308">J305-(J453-J403)</f>
        <v>-5999.9400000000005</v>
      </c>
      <c r="K306" s="104">
        <f t="shared" si="282"/>
        <v>-5999.9400000000005</v>
      </c>
      <c r="X306" s="182"/>
      <c r="Y306" s="129"/>
      <c r="Z306" s="129"/>
      <c r="AA306" s="129"/>
      <c r="AB306" s="129"/>
      <c r="AC306" s="129"/>
      <c r="AD306" s="129"/>
      <c r="AE306" s="129"/>
      <c r="AF306" s="129"/>
      <c r="AG306" s="129"/>
      <c r="AH306" s="129"/>
      <c r="AI306" s="129"/>
      <c r="AJ306" s="129"/>
      <c r="AK306" s="129"/>
      <c r="AL306" s="129"/>
      <c r="AM306" s="129"/>
      <c r="AN306" s="129"/>
      <c r="AO306" s="131"/>
      <c r="AP306" s="129"/>
      <c r="AQ306" s="129"/>
      <c r="AR306" s="129"/>
      <c r="AS306" s="129"/>
      <c r="AT306" s="129"/>
      <c r="AU306" s="129"/>
      <c r="AV306" s="129"/>
      <c r="AW306" s="129"/>
      <c r="AX306" s="129"/>
      <c r="AY306" s="129"/>
      <c r="AZ306" s="129"/>
      <c r="BA306" s="129"/>
      <c r="BB306" s="129"/>
      <c r="BC306" s="129"/>
    </row>
    <row r="307" spans="1:59" ht="11.25" customHeight="1">
      <c r="A307" s="60"/>
      <c r="B307" s="102">
        <v>22.01</v>
      </c>
      <c r="C307" s="365">
        <v>0.18690000000000001</v>
      </c>
      <c r="D307" s="104">
        <f t="shared" si="279"/>
        <v>-7999.9300000000021</v>
      </c>
      <c r="E307" s="104">
        <f t="shared" ref="E307" si="309">E306-(E454-E404)</f>
        <v>-7999.9300000000021</v>
      </c>
      <c r="F307" s="104">
        <f t="shared" si="279"/>
        <v>-7999.9300000000021</v>
      </c>
      <c r="G307" s="104">
        <f t="shared" ref="G307" si="310">G306-(G454-G404)</f>
        <v>-7999.9300000000021</v>
      </c>
      <c r="H307" s="104">
        <f t="shared" si="282"/>
        <v>-6999.9300000000021</v>
      </c>
      <c r="I307" s="104">
        <f t="shared" ref="I307" si="311">I306-(I454-I404)</f>
        <v>-6999.9300000000021</v>
      </c>
      <c r="J307" s="104">
        <f t="shared" ref="J307" si="312">J306-(J454-J404)</f>
        <v>-6999.9300000000021</v>
      </c>
      <c r="K307" s="104">
        <f t="shared" si="282"/>
        <v>-6999.9300000000021</v>
      </c>
      <c r="X307" s="182"/>
      <c r="Y307" s="129"/>
      <c r="Z307" s="129"/>
      <c r="AA307" s="129"/>
      <c r="AB307" s="129"/>
      <c r="AC307" s="129"/>
      <c r="AD307" s="129"/>
      <c r="AE307" s="129"/>
      <c r="AF307" s="129"/>
      <c r="AG307" s="129"/>
      <c r="AH307" s="129"/>
      <c r="AI307" s="129"/>
      <c r="AJ307" s="129"/>
      <c r="AK307" s="129"/>
      <c r="AL307" s="129"/>
      <c r="AM307" s="129"/>
      <c r="AN307" s="129"/>
      <c r="AO307" s="131"/>
      <c r="AP307" s="129"/>
      <c r="AQ307" s="129"/>
      <c r="AR307" s="129"/>
      <c r="AS307" s="129"/>
      <c r="AT307" s="129"/>
      <c r="AU307" s="129"/>
      <c r="AV307" s="129"/>
      <c r="AW307" s="129"/>
      <c r="AX307" s="129"/>
      <c r="AY307" s="129"/>
      <c r="AZ307" s="129"/>
      <c r="BA307" s="129"/>
      <c r="BB307" s="129"/>
      <c r="BC307" s="129"/>
      <c r="BD307" s="127"/>
      <c r="BE307" s="127"/>
      <c r="BF307" s="127"/>
      <c r="BG307" s="127"/>
    </row>
    <row r="308" spans="1:59" ht="11.25" customHeight="1">
      <c r="A308" s="60"/>
      <c r="B308" s="102">
        <v>23.01</v>
      </c>
      <c r="C308" s="365">
        <v>0.19650000000000001</v>
      </c>
      <c r="D308" s="104">
        <f t="shared" si="279"/>
        <v>-8999.9200000000037</v>
      </c>
      <c r="E308" s="104">
        <f t="shared" ref="E308" si="313">E307-(E455-E405)</f>
        <v>-8999.9200000000037</v>
      </c>
      <c r="F308" s="104">
        <f t="shared" si="279"/>
        <v>-8999.9200000000037</v>
      </c>
      <c r="G308" s="104">
        <f t="shared" ref="G308" si="314">G307-(G455-G405)</f>
        <v>-8999.9200000000037</v>
      </c>
      <c r="H308" s="104">
        <f t="shared" si="282"/>
        <v>-7999.9200000000037</v>
      </c>
      <c r="I308" s="104">
        <f t="shared" ref="I308" si="315">I307-(I455-I405)</f>
        <v>-7999.9200000000037</v>
      </c>
      <c r="J308" s="104">
        <f t="shared" ref="J308" si="316">J307-(J455-J405)</f>
        <v>-7999.9200000000037</v>
      </c>
      <c r="K308" s="104">
        <f t="shared" si="282"/>
        <v>-7999.9200000000037</v>
      </c>
      <c r="L308" s="60"/>
      <c r="X308" s="182"/>
      <c r="Y308" s="129"/>
      <c r="Z308" s="129"/>
      <c r="AA308" s="129"/>
      <c r="AB308" s="129"/>
      <c r="AC308" s="129"/>
      <c r="AD308" s="129"/>
      <c r="AE308" s="129"/>
      <c r="AF308" s="129"/>
      <c r="AG308" s="129"/>
      <c r="AH308" s="129"/>
      <c r="AI308" s="129"/>
      <c r="AJ308" s="129"/>
      <c r="AK308" s="129"/>
      <c r="AL308" s="129"/>
      <c r="AM308" s="129"/>
      <c r="AN308" s="129"/>
      <c r="AO308" s="131"/>
      <c r="AP308" s="129"/>
      <c r="AQ308" s="129"/>
      <c r="AR308" s="129"/>
      <c r="AS308" s="129"/>
      <c r="AT308" s="129"/>
      <c r="AU308" s="129"/>
      <c r="AV308" s="129"/>
      <c r="AW308" s="129"/>
      <c r="AX308" s="129"/>
      <c r="AY308" s="129"/>
      <c r="AZ308" s="129"/>
      <c r="BA308" s="129"/>
      <c r="BB308" s="129"/>
      <c r="BC308" s="129"/>
    </row>
    <row r="309" spans="1:59" ht="11.25" customHeight="1">
      <c r="A309" s="60"/>
      <c r="B309" s="102">
        <v>24.01</v>
      </c>
      <c r="C309" s="365">
        <v>0.20680000000000001</v>
      </c>
      <c r="D309" s="104">
        <f t="shared" si="279"/>
        <v>-9999.9100000000053</v>
      </c>
      <c r="E309" s="104">
        <f t="shared" ref="E309" si="317">E308-(E456-E406)</f>
        <v>-9999.9100000000053</v>
      </c>
      <c r="F309" s="104">
        <f t="shared" si="279"/>
        <v>-9999.9100000000053</v>
      </c>
      <c r="G309" s="104">
        <f t="shared" ref="G309" si="318">G308-(G456-G406)</f>
        <v>-9999.9100000000053</v>
      </c>
      <c r="H309" s="104">
        <f t="shared" si="282"/>
        <v>-8999.9100000000053</v>
      </c>
      <c r="I309" s="104">
        <f t="shared" ref="I309" si="319">I308-(I456-I406)</f>
        <v>-8999.9100000000053</v>
      </c>
      <c r="J309" s="104">
        <f t="shared" ref="J309" si="320">J308-(J456-J406)</f>
        <v>-8999.9100000000053</v>
      </c>
      <c r="K309" s="104">
        <f t="shared" si="282"/>
        <v>-8999.9100000000053</v>
      </c>
      <c r="X309" s="182"/>
      <c r="Y309" s="129"/>
      <c r="Z309" s="129"/>
      <c r="AA309" s="129"/>
      <c r="AB309" s="129"/>
      <c r="AC309" s="129"/>
      <c r="AD309" s="129"/>
      <c r="AE309" s="129"/>
      <c r="AF309" s="129"/>
      <c r="AG309" s="129"/>
      <c r="AH309" s="129"/>
      <c r="AI309" s="129"/>
      <c r="AJ309" s="129"/>
      <c r="AK309" s="129"/>
      <c r="AL309" s="129"/>
      <c r="AM309" s="129"/>
      <c r="AN309" s="129"/>
      <c r="AO309" s="129"/>
      <c r="AP309" s="129"/>
      <c r="AQ309" s="129"/>
      <c r="AR309" s="129"/>
      <c r="AS309" s="129"/>
      <c r="AT309" s="129"/>
      <c r="AU309" s="129"/>
      <c r="AV309" s="129"/>
      <c r="AW309" s="129"/>
      <c r="AX309" s="129"/>
      <c r="AY309" s="129"/>
      <c r="AZ309" s="129"/>
      <c r="BA309" s="129"/>
      <c r="BB309" s="129"/>
      <c r="BC309" s="129"/>
    </row>
    <row r="310" spans="1:59" ht="11.25" customHeight="1">
      <c r="A310" s="60"/>
      <c r="B310" s="102">
        <v>25.01</v>
      </c>
      <c r="C310" s="365">
        <v>0.21709999999999999</v>
      </c>
      <c r="D310" s="104">
        <f t="shared" si="279"/>
        <v>-10999.900000000007</v>
      </c>
      <c r="E310" s="104">
        <f t="shared" ref="E310" si="321">E309-(E457-E407)</f>
        <v>-10999.900000000007</v>
      </c>
      <c r="F310" s="104">
        <f t="shared" si="279"/>
        <v>-10999.900000000007</v>
      </c>
      <c r="G310" s="104">
        <f t="shared" ref="G310" si="322">G309-(G457-G407)</f>
        <v>-10999.900000000007</v>
      </c>
      <c r="H310" s="104">
        <f t="shared" si="282"/>
        <v>-9999.9000000000069</v>
      </c>
      <c r="I310" s="104">
        <f t="shared" ref="I310" si="323">I309-(I457-I407)</f>
        <v>-9999.9000000000069</v>
      </c>
      <c r="J310" s="104">
        <f t="shared" ref="J310" si="324">J309-(J457-J407)</f>
        <v>-9999.9000000000069</v>
      </c>
      <c r="K310" s="104">
        <f t="shared" si="282"/>
        <v>-9999.9000000000069</v>
      </c>
      <c r="X310" s="182"/>
      <c r="Y310" s="129"/>
      <c r="Z310" s="129"/>
      <c r="AA310" s="129"/>
      <c r="AB310" s="129"/>
      <c r="AC310" s="129"/>
      <c r="AD310" s="129"/>
      <c r="AE310" s="129"/>
      <c r="AF310" s="129"/>
      <c r="AG310" s="129"/>
      <c r="AH310" s="129"/>
      <c r="AI310" s="129"/>
      <c r="AJ310" s="129"/>
      <c r="AK310" s="129"/>
      <c r="AL310" s="129"/>
      <c r="AM310" s="129"/>
      <c r="AN310" s="129"/>
      <c r="AO310" s="129"/>
      <c r="AP310" s="129"/>
      <c r="AQ310" s="129"/>
      <c r="AR310" s="129"/>
      <c r="AS310" s="129"/>
      <c r="AT310" s="129"/>
      <c r="AU310" s="129"/>
      <c r="AV310" s="129"/>
      <c r="AW310" s="129"/>
      <c r="AX310" s="129"/>
      <c r="AY310" s="129"/>
      <c r="AZ310" s="129"/>
      <c r="BA310" s="129"/>
      <c r="BB310" s="129"/>
      <c r="BC310" s="129"/>
    </row>
    <row r="311" spans="1:59" ht="11.25" customHeight="1">
      <c r="A311" s="60"/>
      <c r="B311" s="102">
        <v>26.01</v>
      </c>
      <c r="C311" s="365">
        <v>0.22739999999999999</v>
      </c>
      <c r="D311" s="104">
        <f t="shared" si="279"/>
        <v>-11999.890000000009</v>
      </c>
      <c r="E311" s="104">
        <f t="shared" ref="E311" si="325">E310-(E458-E408)</f>
        <v>-11999.890000000009</v>
      </c>
      <c r="F311" s="104">
        <f t="shared" si="279"/>
        <v>-11999.890000000009</v>
      </c>
      <c r="G311" s="104">
        <f t="shared" ref="G311" si="326">G310-(G458-G408)</f>
        <v>-11999.890000000009</v>
      </c>
      <c r="H311" s="104">
        <f t="shared" si="282"/>
        <v>-10999.890000000009</v>
      </c>
      <c r="I311" s="104">
        <f t="shared" ref="I311" si="327">I310-(I458-I408)</f>
        <v>-10999.890000000009</v>
      </c>
      <c r="J311" s="104">
        <f t="shared" ref="J311" si="328">J310-(J458-J408)</f>
        <v>-10999.890000000009</v>
      </c>
      <c r="K311" s="104">
        <f t="shared" si="282"/>
        <v>-10999.890000000009</v>
      </c>
      <c r="X311" s="182"/>
      <c r="Y311" s="129"/>
      <c r="Z311" s="129"/>
      <c r="AA311" s="129"/>
      <c r="AB311" s="129"/>
      <c r="AC311" s="129"/>
      <c r="AD311" s="129"/>
      <c r="AE311" s="129"/>
      <c r="AF311" s="129"/>
      <c r="AG311" s="129"/>
      <c r="AH311" s="129"/>
      <c r="AI311" s="129"/>
      <c r="AJ311" s="129"/>
      <c r="AK311" s="129"/>
      <c r="AL311" s="129"/>
      <c r="AM311" s="129"/>
      <c r="AN311" s="129"/>
      <c r="AO311" s="129"/>
      <c r="AP311" s="129"/>
      <c r="AQ311" s="129"/>
      <c r="AR311" s="129"/>
      <c r="AS311" s="129"/>
      <c r="AT311" s="129"/>
      <c r="AU311" s="129"/>
      <c r="AV311" s="129"/>
      <c r="AW311" s="129"/>
      <c r="AX311" s="129"/>
      <c r="AY311" s="129"/>
      <c r="AZ311" s="129"/>
      <c r="BA311" s="129"/>
      <c r="BB311" s="129"/>
      <c r="BC311" s="129"/>
    </row>
    <row r="312" spans="1:59" ht="12" customHeight="1">
      <c r="A312" s="60"/>
      <c r="B312" s="102">
        <v>27.01</v>
      </c>
      <c r="C312" s="365">
        <v>0.23949999999999999</v>
      </c>
      <c r="D312" s="104">
        <f t="shared" si="279"/>
        <v>-12999.88000000001</v>
      </c>
      <c r="E312" s="104">
        <f t="shared" ref="E312" si="329">E311-(E459-E409)</f>
        <v>-12999.88000000001</v>
      </c>
      <c r="F312" s="104">
        <f t="shared" si="279"/>
        <v>-12999.88000000001</v>
      </c>
      <c r="G312" s="104">
        <f t="shared" ref="G312" si="330">G311-(G459-G409)</f>
        <v>-12999.88000000001</v>
      </c>
      <c r="H312" s="104">
        <f t="shared" si="282"/>
        <v>-11999.88000000001</v>
      </c>
      <c r="I312" s="104">
        <f t="shared" ref="I312" si="331">I311-(I459-I409)</f>
        <v>-11999.88000000001</v>
      </c>
      <c r="J312" s="104">
        <f t="shared" ref="J312" si="332">J311-(J459-J409)</f>
        <v>-11999.88000000001</v>
      </c>
      <c r="K312" s="104">
        <f t="shared" si="282"/>
        <v>-11999.88000000001</v>
      </c>
      <c r="X312" s="182"/>
      <c r="Y312" s="129"/>
      <c r="Z312" s="129"/>
      <c r="AA312" s="129"/>
      <c r="AB312" s="129"/>
      <c r="AC312" s="129"/>
      <c r="AD312" s="129"/>
      <c r="AE312" s="129"/>
      <c r="AF312" s="129"/>
      <c r="AG312" s="129"/>
      <c r="AI312" s="129"/>
      <c r="AJ312" s="129"/>
      <c r="AK312" s="129"/>
      <c r="AL312" s="129"/>
      <c r="AM312" s="129"/>
      <c r="AN312" s="129"/>
      <c r="AO312" s="129"/>
      <c r="AP312" s="129"/>
      <c r="AQ312" s="129"/>
      <c r="AR312" s="129"/>
      <c r="AS312" s="129"/>
      <c r="AT312" s="129"/>
      <c r="AU312" s="129"/>
      <c r="AV312" s="129"/>
      <c r="AW312" s="129"/>
      <c r="AX312" s="129"/>
      <c r="AY312" s="129"/>
      <c r="AZ312" s="129"/>
      <c r="BA312" s="129"/>
      <c r="BB312" s="129"/>
      <c r="BC312" s="129"/>
    </row>
    <row r="313" spans="1:59" ht="12" customHeight="1">
      <c r="A313" s="60"/>
      <c r="B313" s="102">
        <v>28.01</v>
      </c>
      <c r="C313" s="365">
        <v>0.25159999999999999</v>
      </c>
      <c r="D313" s="104">
        <f t="shared" si="279"/>
        <v>-13999.870000000012</v>
      </c>
      <c r="E313" s="104">
        <f t="shared" ref="E313" si="333">E312-(E460-E410)</f>
        <v>-13999.870000000012</v>
      </c>
      <c r="F313" s="104">
        <f t="shared" si="279"/>
        <v>-13999.870000000012</v>
      </c>
      <c r="G313" s="104">
        <f t="shared" ref="G313" si="334">G312-(G460-G410)</f>
        <v>-13999.870000000012</v>
      </c>
      <c r="H313" s="104">
        <f t="shared" si="282"/>
        <v>-12999.870000000012</v>
      </c>
      <c r="I313" s="104">
        <f t="shared" ref="I313" si="335">I312-(I460-I410)</f>
        <v>-12999.870000000012</v>
      </c>
      <c r="J313" s="104">
        <f t="shared" ref="J313" si="336">J312-(J460-J410)</f>
        <v>-12999.870000000012</v>
      </c>
      <c r="K313" s="104">
        <f t="shared" si="282"/>
        <v>-12999.870000000012</v>
      </c>
      <c r="X313" s="182"/>
      <c r="Y313" s="129"/>
      <c r="Z313" s="129"/>
      <c r="AA313" s="129"/>
      <c r="AB313" s="129"/>
      <c r="AC313" s="129"/>
      <c r="AD313" s="129"/>
      <c r="AE313" s="129"/>
      <c r="AF313" s="129"/>
      <c r="AG313" s="129"/>
      <c r="AH313" s="141"/>
      <c r="AI313" s="129"/>
      <c r="AJ313" s="129"/>
      <c r="AK313" s="129"/>
      <c r="AL313" s="129"/>
      <c r="AM313" s="129"/>
      <c r="AN313" s="129"/>
      <c r="AO313" s="129"/>
      <c r="AP313" s="129"/>
      <c r="AQ313" s="129"/>
      <c r="AR313" s="129"/>
      <c r="AS313" s="129"/>
      <c r="AT313" s="129"/>
      <c r="AU313" s="129"/>
      <c r="AV313" s="129"/>
      <c r="AW313" s="129"/>
      <c r="AX313" s="129"/>
      <c r="AY313" s="129"/>
      <c r="AZ313" s="129"/>
      <c r="BA313" s="129"/>
      <c r="BB313" s="129"/>
      <c r="BC313" s="129"/>
    </row>
    <row r="314" spans="1:59" ht="12" customHeight="1">
      <c r="A314" s="60"/>
      <c r="B314" s="102">
        <v>29.01</v>
      </c>
      <c r="C314" s="365">
        <v>0.26369999999999999</v>
      </c>
      <c r="D314" s="104">
        <f t="shared" si="279"/>
        <v>-14999.860000000013</v>
      </c>
      <c r="E314" s="104">
        <f t="shared" ref="E314" si="337">E313-(E461-E411)</f>
        <v>-14999.860000000013</v>
      </c>
      <c r="F314" s="104">
        <f t="shared" si="279"/>
        <v>-14999.860000000013</v>
      </c>
      <c r="G314" s="104">
        <f t="shared" ref="G314" si="338">G313-(G461-G411)</f>
        <v>-14999.860000000013</v>
      </c>
      <c r="H314" s="104">
        <f t="shared" si="282"/>
        <v>-13999.860000000013</v>
      </c>
      <c r="I314" s="104">
        <f t="shared" ref="I314" si="339">I313-(I461-I411)</f>
        <v>-13999.860000000013</v>
      </c>
      <c r="J314" s="104">
        <f t="shared" ref="J314" si="340">J313-(J461-J411)</f>
        <v>-13999.860000000013</v>
      </c>
      <c r="K314" s="104">
        <f t="shared" si="282"/>
        <v>-13999.860000000013</v>
      </c>
      <c r="X314" s="182"/>
      <c r="Y314" s="129"/>
      <c r="Z314" s="129"/>
      <c r="AA314" s="129"/>
      <c r="AB314" s="129"/>
      <c r="AC314" s="129"/>
      <c r="AD314" s="129"/>
      <c r="AE314" s="129"/>
      <c r="AF314" s="129"/>
      <c r="AG314" s="129"/>
      <c r="AH314" s="141"/>
      <c r="AI314" s="129"/>
      <c r="AJ314" s="129"/>
      <c r="AK314" s="129"/>
      <c r="AL314" s="129"/>
      <c r="AM314" s="129"/>
      <c r="AN314" s="129"/>
      <c r="AO314" s="129"/>
      <c r="AP314" s="129"/>
      <c r="AQ314" s="129"/>
      <c r="AR314" s="129"/>
      <c r="AS314" s="129"/>
      <c r="AT314" s="129"/>
      <c r="AU314" s="129"/>
      <c r="AV314" s="129"/>
      <c r="AW314" s="129"/>
      <c r="AX314" s="129"/>
      <c r="AY314" s="129"/>
      <c r="AZ314" s="129"/>
      <c r="BA314" s="129"/>
      <c r="BB314" s="129"/>
      <c r="BC314" s="129"/>
    </row>
    <row r="315" spans="1:59" ht="12" customHeight="1">
      <c r="A315" s="60"/>
      <c r="B315" s="102">
        <v>30.01</v>
      </c>
      <c r="C315" s="365">
        <v>0.27789999999999998</v>
      </c>
      <c r="D315" s="104">
        <f t="shared" si="279"/>
        <v>-15999.850000000015</v>
      </c>
      <c r="E315" s="104">
        <f t="shared" ref="E315" si="341">E314-(E462-E412)</f>
        <v>-15999.850000000015</v>
      </c>
      <c r="F315" s="104">
        <f t="shared" si="279"/>
        <v>-15999.850000000015</v>
      </c>
      <c r="G315" s="104">
        <f t="shared" ref="G315" si="342">G314-(G462-G412)</f>
        <v>-15999.850000000015</v>
      </c>
      <c r="H315" s="104">
        <f t="shared" si="282"/>
        <v>-14999.850000000015</v>
      </c>
      <c r="I315" s="104">
        <f t="shared" ref="I315" si="343">I314-(I462-I412)</f>
        <v>-14999.850000000015</v>
      </c>
      <c r="J315" s="104">
        <f t="shared" ref="J315" si="344">J314-(J462-J412)</f>
        <v>-14999.850000000015</v>
      </c>
      <c r="K315" s="104">
        <f t="shared" si="282"/>
        <v>-14999.850000000015</v>
      </c>
      <c r="X315" s="182"/>
      <c r="Y315" s="129"/>
      <c r="Z315" s="129"/>
      <c r="AA315" s="129"/>
      <c r="AB315" s="129"/>
      <c r="AC315" s="129"/>
      <c r="AD315" s="129"/>
      <c r="AE315" s="129"/>
      <c r="AF315" s="129"/>
      <c r="AG315" s="129"/>
      <c r="AH315" s="141"/>
      <c r="AI315" s="129"/>
      <c r="AJ315" s="129"/>
      <c r="AK315" s="129"/>
      <c r="AL315" s="129"/>
      <c r="AM315" s="129"/>
      <c r="AN315" s="129"/>
      <c r="AO315" s="129"/>
      <c r="AP315" s="129"/>
      <c r="AQ315" s="129"/>
      <c r="AR315" s="129"/>
      <c r="AS315" s="129"/>
      <c r="AT315" s="129"/>
      <c r="AU315" s="129"/>
      <c r="AV315" s="129"/>
      <c r="AW315" s="129"/>
      <c r="AX315" s="129"/>
      <c r="AY315" s="129"/>
      <c r="AZ315" s="129"/>
      <c r="BA315" s="129"/>
      <c r="BB315" s="129"/>
      <c r="BC315" s="129"/>
    </row>
    <row r="316" spans="1:59" ht="12" customHeight="1">
      <c r="A316" s="60"/>
      <c r="B316" s="102">
        <v>31.01</v>
      </c>
      <c r="C316" s="365">
        <v>0.29210000000000003</v>
      </c>
      <c r="D316" s="104">
        <f t="shared" si="279"/>
        <v>-16999.840000000018</v>
      </c>
      <c r="E316" s="104">
        <f t="shared" ref="E316" si="345">E315-(E463-E413)</f>
        <v>-16999.840000000018</v>
      </c>
      <c r="F316" s="104">
        <f t="shared" si="279"/>
        <v>-16999.840000000018</v>
      </c>
      <c r="G316" s="104">
        <f t="shared" ref="G316" si="346">G315-(G463-G413)</f>
        <v>-16999.840000000018</v>
      </c>
      <c r="H316" s="104">
        <f t="shared" si="282"/>
        <v>-15999.840000000017</v>
      </c>
      <c r="I316" s="104">
        <f t="shared" ref="I316" si="347">I315-(I463-I413)</f>
        <v>-15999.840000000017</v>
      </c>
      <c r="J316" s="104">
        <f t="shared" ref="J316" si="348">J315-(J463-J413)</f>
        <v>-15999.840000000017</v>
      </c>
      <c r="K316" s="104">
        <f t="shared" si="282"/>
        <v>-15999.840000000017</v>
      </c>
      <c r="X316" s="182"/>
      <c r="Y316" s="129"/>
      <c r="Z316" s="129"/>
      <c r="AA316" s="129"/>
      <c r="AB316" s="129"/>
      <c r="AC316" s="129"/>
      <c r="AD316" s="129"/>
      <c r="AE316" s="129"/>
      <c r="AF316" s="129"/>
      <c r="AG316" s="129"/>
      <c r="AH316" s="129"/>
      <c r="AI316" s="129"/>
      <c r="AJ316" s="129"/>
      <c r="AK316" s="129"/>
      <c r="AL316" s="129"/>
      <c r="AM316" s="129"/>
      <c r="AN316" s="129"/>
      <c r="AO316" s="129"/>
      <c r="AP316" s="129"/>
      <c r="AQ316" s="129"/>
      <c r="AR316" s="129"/>
      <c r="AS316" s="129"/>
      <c r="AT316" s="129"/>
      <c r="AU316" s="129"/>
      <c r="AV316" s="129"/>
      <c r="AW316" s="129"/>
      <c r="AX316" s="129"/>
      <c r="AY316" s="129"/>
      <c r="AZ316" s="129"/>
      <c r="BA316" s="129"/>
      <c r="BB316" s="129"/>
      <c r="BC316" s="129"/>
    </row>
    <row r="317" spans="1:59" ht="12" customHeight="1">
      <c r="A317" s="60"/>
      <c r="B317" s="102">
        <v>32.01</v>
      </c>
      <c r="C317" s="365">
        <v>0.30630000000000002</v>
      </c>
      <c r="D317" s="104">
        <f t="shared" si="279"/>
        <v>-17999.83000000002</v>
      </c>
      <c r="E317" s="104">
        <f t="shared" ref="E317" si="349">E316-(E464-E414)</f>
        <v>-17999.83000000002</v>
      </c>
      <c r="F317" s="104">
        <f t="shared" si="279"/>
        <v>-17999.83000000002</v>
      </c>
      <c r="G317" s="104">
        <f t="shared" ref="G317" si="350">G316-(G464-G414)</f>
        <v>-17999.83000000002</v>
      </c>
      <c r="H317" s="104">
        <f t="shared" si="282"/>
        <v>-16999.830000000016</v>
      </c>
      <c r="I317" s="104">
        <f t="shared" ref="I317" si="351">I316-(I464-I414)</f>
        <v>-16999.830000000016</v>
      </c>
      <c r="J317" s="104">
        <f t="shared" ref="J317" si="352">J316-(J464-J414)</f>
        <v>-16999.830000000016</v>
      </c>
      <c r="K317" s="104">
        <f t="shared" si="282"/>
        <v>-16999.830000000016</v>
      </c>
      <c r="X317" s="182"/>
      <c r="Y317" s="129"/>
      <c r="Z317" s="129"/>
      <c r="AA317" s="129"/>
      <c r="AB317" s="129"/>
      <c r="AC317" s="129"/>
      <c r="AD317" s="129"/>
      <c r="AE317" s="129"/>
      <c r="AF317" s="129"/>
      <c r="AG317" s="129"/>
      <c r="AH317" s="129"/>
      <c r="AI317" s="129"/>
      <c r="AJ317" s="129"/>
      <c r="AK317" s="129"/>
      <c r="AL317" s="129"/>
      <c r="AM317" s="129"/>
      <c r="AN317" s="129"/>
      <c r="AO317" s="129"/>
      <c r="AP317" s="129"/>
      <c r="AQ317" s="129"/>
      <c r="AR317" s="129"/>
      <c r="AS317" s="129"/>
      <c r="AT317" s="129"/>
      <c r="AU317" s="129"/>
      <c r="AV317" s="129"/>
      <c r="AW317" s="129"/>
      <c r="AX317" s="129"/>
      <c r="AY317" s="129"/>
      <c r="AZ317" s="129"/>
      <c r="BA317" s="129"/>
      <c r="BB317" s="129"/>
      <c r="BC317" s="129"/>
    </row>
    <row r="318" spans="1:59" ht="12" customHeight="1">
      <c r="A318" s="60"/>
      <c r="B318" s="102">
        <v>33.01</v>
      </c>
      <c r="C318" s="365">
        <v>0.32219999999999999</v>
      </c>
      <c r="D318" s="104">
        <f t="shared" si="279"/>
        <v>-18999.820000000022</v>
      </c>
      <c r="E318" s="104">
        <f t="shared" ref="E318" si="353">E317-(E465-E415)</f>
        <v>-18999.820000000022</v>
      </c>
      <c r="F318" s="104">
        <f t="shared" si="279"/>
        <v>-18999.820000000022</v>
      </c>
      <c r="G318" s="104">
        <f t="shared" ref="G318" si="354">G317-(G465-G415)</f>
        <v>-18999.820000000022</v>
      </c>
      <c r="H318" s="104">
        <f t="shared" si="282"/>
        <v>-17999.820000000018</v>
      </c>
      <c r="I318" s="104">
        <f t="shared" ref="I318" si="355">I317-(I465-I415)</f>
        <v>-17999.820000000018</v>
      </c>
      <c r="J318" s="104">
        <f t="shared" ref="J318" si="356">J317-(J465-J415)</f>
        <v>-17999.820000000018</v>
      </c>
      <c r="K318" s="104">
        <f t="shared" si="282"/>
        <v>-17999.820000000018</v>
      </c>
      <c r="X318" s="182"/>
      <c r="Y318" s="129"/>
      <c r="Z318" s="129"/>
      <c r="AA318" s="129"/>
      <c r="AB318" s="129"/>
      <c r="AC318" s="129"/>
      <c r="AD318" s="129"/>
      <c r="AE318" s="129"/>
      <c r="AF318" s="129"/>
      <c r="AG318" s="129"/>
      <c r="AH318" s="129"/>
      <c r="AI318" s="129"/>
      <c r="AJ318" s="129"/>
      <c r="AK318" s="129"/>
      <c r="AL318" s="129"/>
      <c r="AM318" s="129"/>
      <c r="AN318" s="129"/>
      <c r="AO318" s="129"/>
      <c r="AP318" s="129"/>
      <c r="AQ318" s="129"/>
      <c r="AR318" s="129"/>
      <c r="AS318" s="129"/>
      <c r="AT318" s="129"/>
      <c r="AU318" s="129"/>
      <c r="AV318" s="129"/>
      <c r="AW318" s="129"/>
      <c r="AX318" s="129"/>
      <c r="AY318" s="129"/>
      <c r="AZ318" s="129"/>
      <c r="BA318" s="129"/>
      <c r="BB318" s="129"/>
      <c r="BC318" s="129"/>
    </row>
    <row r="319" spans="1:59" ht="12" customHeight="1">
      <c r="A319" s="60"/>
      <c r="B319" s="102">
        <v>34.01</v>
      </c>
      <c r="C319" s="365">
        <v>0.33810000000000001</v>
      </c>
      <c r="D319" s="104">
        <f t="shared" si="279"/>
        <v>-19999.810000000023</v>
      </c>
      <c r="E319" s="104">
        <f t="shared" ref="E319" si="357">E318-(E466-E416)</f>
        <v>-19999.810000000023</v>
      </c>
      <c r="F319" s="104">
        <f t="shared" si="279"/>
        <v>-19999.810000000023</v>
      </c>
      <c r="G319" s="104">
        <f t="shared" ref="G319" si="358">G318-(G466-G416)</f>
        <v>-19999.810000000023</v>
      </c>
      <c r="H319" s="104">
        <f t="shared" si="282"/>
        <v>-18999.810000000019</v>
      </c>
      <c r="I319" s="104">
        <f t="shared" ref="I319" si="359">I318-(I466-I416)</f>
        <v>-18999.810000000019</v>
      </c>
      <c r="J319" s="104">
        <f t="shared" ref="J319" si="360">J318-(J466-J416)</f>
        <v>-18999.810000000019</v>
      </c>
      <c r="K319" s="104">
        <f t="shared" si="282"/>
        <v>-18999.810000000019</v>
      </c>
      <c r="X319" s="182"/>
      <c r="Y319" s="129"/>
      <c r="Z319" s="129"/>
      <c r="AA319" s="129"/>
      <c r="AB319" s="129"/>
      <c r="AC319" s="129"/>
      <c r="AD319" s="129"/>
      <c r="AE319" s="129"/>
      <c r="AF319" s="129"/>
      <c r="AG319" s="129"/>
      <c r="AH319" s="129"/>
      <c r="AI319" s="129"/>
      <c r="AJ319" s="129"/>
      <c r="AK319" s="129"/>
      <c r="AL319" s="129"/>
      <c r="AM319" s="129"/>
      <c r="AN319" s="129"/>
      <c r="AO319" s="129"/>
      <c r="AP319" s="129"/>
      <c r="AQ319" s="129"/>
      <c r="AR319" s="129"/>
      <c r="AS319" s="129"/>
      <c r="AT319" s="129"/>
      <c r="AU319" s="129"/>
      <c r="AV319" s="129"/>
      <c r="AW319" s="129"/>
      <c r="AX319" s="129"/>
      <c r="AY319" s="129"/>
      <c r="AZ319" s="129"/>
      <c r="BA319" s="129"/>
      <c r="BB319" s="129"/>
      <c r="BC319" s="129"/>
    </row>
    <row r="320" spans="1:59">
      <c r="A320" s="60"/>
      <c r="B320" s="102">
        <v>35.01</v>
      </c>
      <c r="C320" s="365">
        <v>0.35399999999999998</v>
      </c>
      <c r="D320" s="104">
        <f t="shared" si="279"/>
        <v>-20999.800000000025</v>
      </c>
      <c r="E320" s="104">
        <f t="shared" ref="E320" si="361">E319-(E467-E417)</f>
        <v>-20999.800000000025</v>
      </c>
      <c r="F320" s="104">
        <f t="shared" si="279"/>
        <v>-20999.800000000025</v>
      </c>
      <c r="G320" s="104">
        <f t="shared" ref="G320" si="362">G319-(G467-G417)</f>
        <v>-20999.800000000025</v>
      </c>
      <c r="H320" s="104">
        <f t="shared" si="282"/>
        <v>-19999.800000000021</v>
      </c>
      <c r="I320" s="104">
        <f t="shared" ref="I320" si="363">I319-(I467-I417)</f>
        <v>-19999.800000000021</v>
      </c>
      <c r="J320" s="104">
        <f t="shared" ref="J320" si="364">J319-(J467-J417)</f>
        <v>-19999.800000000021</v>
      </c>
      <c r="K320" s="104">
        <f t="shared" si="282"/>
        <v>-19999.800000000021</v>
      </c>
      <c r="X320" s="182"/>
      <c r="Y320" s="129"/>
      <c r="Z320" s="129"/>
      <c r="AA320" s="129"/>
      <c r="AB320" s="129"/>
      <c r="AC320" s="129"/>
      <c r="AD320" s="129"/>
      <c r="AE320" s="129"/>
      <c r="AF320" s="129"/>
      <c r="AG320" s="129"/>
      <c r="AH320" s="129"/>
      <c r="AI320" s="129"/>
      <c r="AJ320" s="129"/>
      <c r="AK320" s="129"/>
      <c r="AL320" s="129"/>
      <c r="AM320" s="129"/>
      <c r="AN320" s="129"/>
      <c r="AO320" s="129"/>
      <c r="AP320" s="129"/>
      <c r="AQ320" s="129"/>
      <c r="AR320" s="129"/>
      <c r="AS320" s="129"/>
      <c r="AT320" s="129"/>
      <c r="AU320" s="129"/>
      <c r="AV320" s="129"/>
      <c r="AW320" s="129"/>
      <c r="AX320" s="129"/>
      <c r="AY320" s="129"/>
      <c r="AZ320" s="129"/>
      <c r="BA320" s="129"/>
      <c r="BB320" s="129"/>
      <c r="BC320" s="129"/>
    </row>
    <row r="321" spans="1:55" ht="12" customHeight="1">
      <c r="A321" s="60"/>
      <c r="B321" s="102">
        <v>36.01</v>
      </c>
      <c r="C321" s="365">
        <v>0.372</v>
      </c>
      <c r="D321" s="104">
        <f t="shared" si="279"/>
        <v>-21999.790000000026</v>
      </c>
      <c r="E321" s="104">
        <f t="shared" ref="E321" si="365">E320-(E468-E418)</f>
        <v>-21999.790000000026</v>
      </c>
      <c r="F321" s="104">
        <f t="shared" si="279"/>
        <v>-21999.790000000026</v>
      </c>
      <c r="G321" s="104">
        <f t="shared" ref="G321" si="366">G320-(G468-G418)</f>
        <v>-21999.790000000026</v>
      </c>
      <c r="H321" s="104">
        <f t="shared" si="282"/>
        <v>-20999.790000000023</v>
      </c>
      <c r="I321" s="104">
        <f t="shared" ref="I321" si="367">I320-(I468-I418)</f>
        <v>-20999.790000000023</v>
      </c>
      <c r="J321" s="104">
        <f t="shared" ref="J321" si="368">J320-(J468-J418)</f>
        <v>-20999.790000000023</v>
      </c>
      <c r="K321" s="104">
        <f t="shared" si="282"/>
        <v>-20999.790000000023</v>
      </c>
      <c r="X321" s="182"/>
      <c r="Y321" s="129"/>
      <c r="AA321" s="129"/>
      <c r="AB321" s="129"/>
      <c r="AC321" s="129"/>
      <c r="AD321" s="129"/>
      <c r="AE321" s="129"/>
      <c r="AF321" s="129"/>
      <c r="AG321" s="129"/>
      <c r="AH321" s="129"/>
      <c r="AI321" s="129"/>
      <c r="AJ321" s="129"/>
      <c r="AK321" s="129"/>
      <c r="AL321" s="129"/>
      <c r="AM321" s="129"/>
      <c r="AN321" s="129"/>
      <c r="AO321" s="129"/>
      <c r="AP321" s="129"/>
      <c r="AQ321" s="129"/>
      <c r="AR321" s="129"/>
      <c r="AS321" s="129"/>
      <c r="AT321" s="129"/>
      <c r="AU321" s="129"/>
      <c r="AV321" s="129"/>
      <c r="AW321" s="129"/>
      <c r="AX321" s="129"/>
      <c r="AY321" s="129"/>
      <c r="AZ321" s="129"/>
      <c r="BA321" s="129"/>
      <c r="BB321" s="129"/>
      <c r="BC321" s="129"/>
    </row>
    <row r="322" spans="1:55" ht="11.25" customHeight="1">
      <c r="A322" s="60"/>
      <c r="B322" s="102">
        <v>37.01</v>
      </c>
      <c r="C322" s="365">
        <v>0.39</v>
      </c>
      <c r="D322" s="104">
        <f t="shared" si="279"/>
        <v>-22999.780000000024</v>
      </c>
      <c r="E322" s="104">
        <f t="shared" ref="E322" si="369">E321-(E469-E419)</f>
        <v>-22999.780000000024</v>
      </c>
      <c r="F322" s="104">
        <f t="shared" si="279"/>
        <v>-22999.780000000024</v>
      </c>
      <c r="G322" s="104">
        <f t="shared" ref="G322" si="370">G321-(G469-G419)</f>
        <v>-22999.780000000024</v>
      </c>
      <c r="H322" s="104">
        <f t="shared" si="282"/>
        <v>-21999.780000000021</v>
      </c>
      <c r="I322" s="104">
        <f t="shared" ref="I322" si="371">I321-(I469-I419)</f>
        <v>-21999.780000000021</v>
      </c>
      <c r="J322" s="104">
        <f t="shared" ref="J322" si="372">J321-(J469-J419)</f>
        <v>-21999.780000000021</v>
      </c>
      <c r="K322" s="104">
        <f t="shared" si="282"/>
        <v>-21999.780000000021</v>
      </c>
      <c r="X322" s="182"/>
      <c r="Y322" s="129"/>
      <c r="Z322" s="186"/>
      <c r="AA322" s="129"/>
      <c r="AB322" s="129"/>
      <c r="AC322" s="129"/>
      <c r="AD322" s="129"/>
      <c r="AE322" s="129"/>
      <c r="AF322" s="129"/>
      <c r="AG322" s="129"/>
      <c r="AH322" s="129"/>
      <c r="AI322" s="129"/>
      <c r="AJ322" s="129"/>
      <c r="AK322" s="129"/>
      <c r="AL322" s="129"/>
      <c r="AM322" s="129"/>
      <c r="AN322" s="129"/>
      <c r="AO322" s="129"/>
      <c r="AP322" s="129"/>
      <c r="AQ322" s="129"/>
      <c r="AR322" s="129"/>
      <c r="AS322" s="129"/>
      <c r="AT322" s="129"/>
      <c r="AU322" s="129"/>
      <c r="AV322" s="129"/>
      <c r="AW322" s="129"/>
      <c r="AX322" s="129"/>
      <c r="AY322" s="129"/>
      <c r="AZ322" s="129"/>
      <c r="BA322" s="129"/>
      <c r="BB322" s="129"/>
      <c r="BC322" s="130"/>
    </row>
    <row r="323" spans="1:55" ht="12" customHeight="1">
      <c r="A323" s="60"/>
      <c r="B323" s="102">
        <v>38.01</v>
      </c>
      <c r="C323" s="365">
        <v>0.40799999999999997</v>
      </c>
      <c r="D323" s="104">
        <f t="shared" si="279"/>
        <v>-23999.770000000022</v>
      </c>
      <c r="E323" s="104">
        <f t="shared" ref="E323" si="373">E322-(E470-E420)</f>
        <v>-23999.770000000022</v>
      </c>
      <c r="F323" s="104">
        <f t="shared" si="279"/>
        <v>-23999.770000000022</v>
      </c>
      <c r="G323" s="104">
        <f t="shared" ref="G323" si="374">G322-(G470-G420)</f>
        <v>-23999.770000000022</v>
      </c>
      <c r="H323" s="104">
        <f t="shared" si="282"/>
        <v>-22999.770000000019</v>
      </c>
      <c r="I323" s="104">
        <f t="shared" ref="I323" si="375">I322-(I470-I420)</f>
        <v>-22999.770000000019</v>
      </c>
      <c r="J323" s="104">
        <f t="shared" ref="J323" si="376">J322-(J470-J420)</f>
        <v>-22999.770000000019</v>
      </c>
      <c r="K323" s="104">
        <f t="shared" si="282"/>
        <v>-22999.770000000019</v>
      </c>
      <c r="X323" s="182"/>
      <c r="Y323" s="129"/>
      <c r="Z323" s="129"/>
      <c r="AA323" s="129"/>
      <c r="AB323" s="129"/>
      <c r="AC323" s="129"/>
      <c r="AD323" s="129"/>
      <c r="AE323" s="129"/>
      <c r="AF323" s="129"/>
      <c r="AG323" s="129"/>
      <c r="AH323" s="129"/>
      <c r="AI323" s="129"/>
      <c r="AJ323" s="129"/>
      <c r="AK323" s="129"/>
      <c r="AL323" s="129"/>
      <c r="AM323" s="129"/>
      <c r="AN323" s="129"/>
      <c r="AO323" s="129"/>
      <c r="AP323" s="129"/>
      <c r="AQ323" s="129"/>
      <c r="AR323" s="129"/>
      <c r="AS323" s="129"/>
      <c r="AT323" s="129"/>
      <c r="AU323" s="129"/>
      <c r="AV323" s="129"/>
      <c r="AW323" s="129"/>
      <c r="AX323" s="129"/>
      <c r="AY323" s="129"/>
      <c r="AZ323" s="129"/>
      <c r="BA323" s="129"/>
      <c r="BB323" s="129"/>
      <c r="BC323" s="130"/>
    </row>
    <row r="324" spans="1:55" ht="12" customHeight="1">
      <c r="A324" s="60"/>
      <c r="B324" s="102">
        <v>39.01</v>
      </c>
      <c r="C324" s="365">
        <v>0.42799999999999999</v>
      </c>
      <c r="D324" s="104">
        <f t="shared" si="279"/>
        <v>-24999.76000000002</v>
      </c>
      <c r="E324" s="104">
        <f t="shared" ref="E324" si="377">E323-(E471-E421)</f>
        <v>-24999.76000000002</v>
      </c>
      <c r="F324" s="104">
        <f t="shared" si="279"/>
        <v>-24999.76000000002</v>
      </c>
      <c r="G324" s="104">
        <f t="shared" ref="G324" si="378">G323-(G471-G421)</f>
        <v>-24999.76000000002</v>
      </c>
      <c r="H324" s="104">
        <f t="shared" si="282"/>
        <v>-23999.760000000017</v>
      </c>
      <c r="I324" s="104">
        <f t="shared" ref="I324" si="379">I323-(I471-I421)</f>
        <v>-23999.760000000017</v>
      </c>
      <c r="J324" s="104">
        <f t="shared" ref="J324" si="380">J323-(J471-J421)</f>
        <v>-23999.760000000017</v>
      </c>
      <c r="K324" s="104">
        <f t="shared" si="282"/>
        <v>-23999.760000000017</v>
      </c>
      <c r="X324" s="182"/>
      <c r="Y324" s="129"/>
      <c r="Z324" s="129"/>
      <c r="AA324" s="129"/>
      <c r="AB324" s="129"/>
      <c r="AC324" s="129"/>
      <c r="AD324" s="129"/>
      <c r="AE324" s="129"/>
      <c r="AF324" s="129"/>
      <c r="AG324" s="129"/>
      <c r="AH324" s="129"/>
      <c r="AI324" s="129"/>
      <c r="AJ324" s="129"/>
      <c r="AK324" s="129"/>
      <c r="AL324" s="129"/>
      <c r="AM324" s="129"/>
      <c r="AN324" s="129"/>
      <c r="AO324" s="129"/>
      <c r="AP324" s="129"/>
      <c r="AQ324" s="129"/>
      <c r="AR324" s="129"/>
      <c r="AS324" s="129"/>
      <c r="AT324" s="129"/>
      <c r="AU324" s="129"/>
      <c r="AV324" s="129"/>
      <c r="AW324" s="129"/>
      <c r="AX324" s="129"/>
      <c r="AY324" s="129"/>
      <c r="AZ324" s="129"/>
      <c r="BA324" s="129"/>
      <c r="BB324" s="129"/>
      <c r="BC324" s="130"/>
    </row>
    <row r="325" spans="1:55" ht="12" customHeight="1">
      <c r="A325" s="60"/>
      <c r="B325" s="102">
        <v>40.01</v>
      </c>
      <c r="C325" s="365">
        <v>0.44800000000000001</v>
      </c>
      <c r="D325" s="104">
        <f t="shared" si="279"/>
        <v>-25999.750000000018</v>
      </c>
      <c r="E325" s="104">
        <f t="shared" ref="E325" si="381">E324-(E472-E422)</f>
        <v>-25999.750000000018</v>
      </c>
      <c r="F325" s="104">
        <f t="shared" si="279"/>
        <v>-25999.750000000018</v>
      </c>
      <c r="G325" s="104">
        <f t="shared" ref="G325" si="382">G324-(G472-G422)</f>
        <v>-25999.750000000018</v>
      </c>
      <c r="H325" s="104">
        <f t="shared" si="282"/>
        <v>-24999.750000000015</v>
      </c>
      <c r="I325" s="104">
        <f t="shared" ref="I325" si="383">I324-(I472-I422)</f>
        <v>-24999.750000000015</v>
      </c>
      <c r="J325" s="104">
        <f t="shared" ref="J325" si="384">J324-(J472-J422)</f>
        <v>-24999.750000000015</v>
      </c>
      <c r="K325" s="104">
        <f t="shared" si="282"/>
        <v>-24999.750000000015</v>
      </c>
      <c r="X325" s="182"/>
      <c r="Y325" s="129"/>
      <c r="Z325" s="129"/>
      <c r="AA325" s="129"/>
      <c r="AB325" s="129"/>
      <c r="AC325" s="129"/>
      <c r="AD325" s="129"/>
      <c r="AE325" s="129"/>
      <c r="AF325" s="129"/>
      <c r="AG325" s="129"/>
      <c r="AH325" s="129"/>
      <c r="AI325" s="129"/>
      <c r="AJ325" s="129"/>
      <c r="AK325" s="129"/>
      <c r="AL325" s="129"/>
      <c r="AM325" s="129"/>
      <c r="AN325" s="129"/>
      <c r="AO325" s="129"/>
      <c r="AP325" s="129"/>
      <c r="AQ325" s="129"/>
      <c r="AR325" s="129"/>
      <c r="AS325" s="129"/>
      <c r="AT325" s="129"/>
      <c r="AU325" s="129"/>
      <c r="AV325" s="129"/>
      <c r="AW325" s="129"/>
      <c r="AX325" s="129"/>
      <c r="AY325" s="129"/>
      <c r="AZ325" s="129"/>
      <c r="BA325" s="129"/>
      <c r="BB325" s="129"/>
    </row>
    <row r="326" spans="1:55" ht="12" customHeight="1">
      <c r="A326" s="60"/>
      <c r="B326" s="102">
        <v>41.01</v>
      </c>
      <c r="C326" s="365">
        <v>0.46800000000000003</v>
      </c>
      <c r="D326" s="104">
        <f t="shared" si="279"/>
        <v>-26999.740000000016</v>
      </c>
      <c r="E326" s="104">
        <f t="shared" ref="E326" si="385">E325-(E473-E423)</f>
        <v>-26999.740000000016</v>
      </c>
      <c r="F326" s="104">
        <f t="shared" si="279"/>
        <v>-26999.740000000016</v>
      </c>
      <c r="G326" s="104">
        <f t="shared" ref="G326" si="386">G325-(G473-G423)</f>
        <v>-26999.740000000016</v>
      </c>
      <c r="H326" s="104">
        <f t="shared" si="282"/>
        <v>-25999.740000000013</v>
      </c>
      <c r="I326" s="104">
        <f t="shared" ref="I326" si="387">I325-(I473-I423)</f>
        <v>-25999.740000000013</v>
      </c>
      <c r="J326" s="104">
        <f t="shared" ref="J326" si="388">J325-(J473-J423)</f>
        <v>-25999.740000000013</v>
      </c>
      <c r="K326" s="104">
        <f t="shared" si="282"/>
        <v>-25999.740000000013</v>
      </c>
      <c r="X326" s="182"/>
      <c r="Y326" s="129"/>
      <c r="Z326" s="129"/>
      <c r="AA326" s="129"/>
      <c r="AB326" s="129"/>
      <c r="AC326" s="129"/>
      <c r="AD326" s="129"/>
      <c r="AE326" s="129"/>
      <c r="AF326" s="129"/>
      <c r="AG326" s="129"/>
      <c r="AH326" s="129"/>
      <c r="AI326" s="129"/>
      <c r="AJ326" s="129"/>
      <c r="AK326" s="129"/>
      <c r="AL326" s="129"/>
      <c r="AM326" s="129"/>
      <c r="AN326" s="129"/>
      <c r="AO326" s="129"/>
      <c r="AP326" s="129"/>
      <c r="AQ326" s="129"/>
      <c r="AR326" s="129"/>
      <c r="AS326" s="129"/>
      <c r="AT326" s="129"/>
      <c r="AU326" s="129"/>
      <c r="AV326" s="129"/>
      <c r="AW326" s="129"/>
      <c r="AX326" s="129"/>
      <c r="AY326" s="129"/>
      <c r="AZ326" s="129"/>
      <c r="BA326" s="129"/>
      <c r="BB326" s="129"/>
    </row>
    <row r="327" spans="1:55" ht="12" customHeight="1">
      <c r="A327" s="60"/>
      <c r="B327" s="102">
        <v>42.01</v>
      </c>
      <c r="C327" s="365">
        <v>0.48799999999999999</v>
      </c>
      <c r="D327" s="104">
        <f t="shared" si="279"/>
        <v>-27999.730000000014</v>
      </c>
      <c r="E327" s="104">
        <f t="shared" ref="E327" si="389">E326-(E474-E424)</f>
        <v>-27999.730000000014</v>
      </c>
      <c r="F327" s="104">
        <f t="shared" si="279"/>
        <v>-27999.730000000014</v>
      </c>
      <c r="G327" s="104">
        <f t="shared" ref="G327" si="390">G326-(G474-G424)</f>
        <v>-27999.730000000014</v>
      </c>
      <c r="H327" s="104">
        <f t="shared" si="282"/>
        <v>-26999.73000000001</v>
      </c>
      <c r="I327" s="104">
        <f t="shared" ref="I327" si="391">I326-(I474-I424)</f>
        <v>-26999.73000000001</v>
      </c>
      <c r="J327" s="104">
        <f t="shared" ref="J327" si="392">J326-(J474-J424)</f>
        <v>-26999.73000000001</v>
      </c>
      <c r="K327" s="104">
        <f t="shared" si="282"/>
        <v>-26999.73000000001</v>
      </c>
      <c r="X327" s="182"/>
      <c r="Y327" s="129"/>
      <c r="Z327" s="129"/>
      <c r="AA327" s="129"/>
      <c r="AB327" s="129"/>
      <c r="AC327" s="129"/>
      <c r="AD327" s="129"/>
      <c r="AE327" s="129"/>
      <c r="AF327" s="129"/>
      <c r="AG327" s="129"/>
      <c r="AH327" s="129"/>
      <c r="AI327" s="129"/>
      <c r="AJ327" s="129"/>
      <c r="AK327" s="129"/>
      <c r="AL327" s="129"/>
      <c r="AM327" s="129"/>
      <c r="AN327" s="129"/>
      <c r="AO327" s="129"/>
      <c r="AP327" s="129"/>
      <c r="AQ327" s="129"/>
      <c r="AR327" s="129"/>
      <c r="AS327" s="129"/>
      <c r="AT327" s="129"/>
      <c r="AU327" s="129"/>
      <c r="AV327" s="129"/>
      <c r="AW327" s="129"/>
      <c r="AX327" s="129"/>
      <c r="AY327" s="129"/>
      <c r="AZ327" s="129"/>
      <c r="BA327" s="129"/>
      <c r="BB327" s="129"/>
    </row>
    <row r="328" spans="1:55" ht="12" customHeight="1">
      <c r="A328" s="60"/>
      <c r="B328" s="102">
        <v>43.01</v>
      </c>
      <c r="C328" s="365">
        <v>0.50800000000000001</v>
      </c>
      <c r="D328" s="104">
        <f t="shared" si="279"/>
        <v>-28999.720000000012</v>
      </c>
      <c r="E328" s="104">
        <f t="shared" ref="E328" si="393">E327-(E475-E425)</f>
        <v>-28999.720000000012</v>
      </c>
      <c r="F328" s="104">
        <f t="shared" si="279"/>
        <v>-28999.720000000012</v>
      </c>
      <c r="G328" s="104">
        <f t="shared" ref="G328" si="394">G327-(G475-G425)</f>
        <v>-28999.720000000012</v>
      </c>
      <c r="H328" s="104">
        <f t="shared" si="282"/>
        <v>-27999.720000000008</v>
      </c>
      <c r="I328" s="104">
        <f t="shared" ref="I328" si="395">I327-(I475-I425)</f>
        <v>-27999.720000000008</v>
      </c>
      <c r="J328" s="104">
        <f t="shared" ref="J328" si="396">J327-(J475-J425)</f>
        <v>-27999.720000000008</v>
      </c>
      <c r="K328" s="104">
        <f t="shared" si="282"/>
        <v>-27999.720000000008</v>
      </c>
      <c r="X328" s="182"/>
      <c r="Y328" s="129"/>
      <c r="Z328" s="129"/>
      <c r="AA328" s="129"/>
      <c r="AB328" s="129"/>
      <c r="AC328" s="129"/>
      <c r="AD328" s="129"/>
      <c r="AE328" s="129"/>
      <c r="AF328" s="129"/>
      <c r="AG328" s="129"/>
      <c r="AH328" s="129"/>
      <c r="AI328" s="129"/>
      <c r="AJ328" s="129"/>
      <c r="AK328" s="129"/>
      <c r="AL328" s="129"/>
      <c r="AM328" s="129"/>
      <c r="AN328" s="129"/>
      <c r="AO328" s="129"/>
      <c r="AP328" s="129"/>
      <c r="AQ328" s="129"/>
      <c r="AR328" s="129"/>
      <c r="AS328" s="129"/>
      <c r="AT328" s="129"/>
      <c r="AU328" s="129"/>
      <c r="AV328" s="129"/>
      <c r="AW328" s="129"/>
      <c r="AX328" s="129"/>
      <c r="AY328" s="129"/>
      <c r="AZ328" s="129"/>
      <c r="BA328" s="129"/>
      <c r="BB328" s="129"/>
    </row>
    <row r="329" spans="1:55" ht="12" customHeight="1">
      <c r="A329" s="60"/>
      <c r="B329" s="102">
        <v>44.01</v>
      </c>
      <c r="C329" s="365">
        <v>0.52800000000000002</v>
      </c>
      <c r="D329" s="104">
        <f t="shared" si="279"/>
        <v>-29999.71000000001</v>
      </c>
      <c r="E329" s="104">
        <f t="shared" ref="E329" si="397">E328-(E476-E426)</f>
        <v>-29999.71000000001</v>
      </c>
      <c r="F329" s="104">
        <f t="shared" si="279"/>
        <v>-29999.71000000001</v>
      </c>
      <c r="G329" s="104">
        <f t="shared" ref="G329" si="398">G328-(G476-G426)</f>
        <v>-29999.71000000001</v>
      </c>
      <c r="H329" s="104">
        <f t="shared" si="282"/>
        <v>-28999.710000000006</v>
      </c>
      <c r="I329" s="104">
        <f t="shared" ref="I329" si="399">I328-(I476-I426)</f>
        <v>-28999.710000000006</v>
      </c>
      <c r="J329" s="104">
        <f t="shared" ref="J329" si="400">J328-(J476-J426)</f>
        <v>-28999.710000000006</v>
      </c>
      <c r="K329" s="104">
        <f t="shared" si="282"/>
        <v>-28999.710000000006</v>
      </c>
      <c r="X329" s="183"/>
      <c r="Y329" s="130"/>
      <c r="Z329" s="130"/>
      <c r="AA329" s="130"/>
      <c r="AB329" s="130"/>
      <c r="AC329" s="130"/>
      <c r="AD329" s="130"/>
      <c r="AE329" s="130"/>
      <c r="AF329" s="130"/>
      <c r="AG329" s="130"/>
      <c r="AH329" s="130"/>
      <c r="AI329" s="130"/>
      <c r="AJ329" s="130"/>
      <c r="AK329" s="130"/>
      <c r="AL329" s="130"/>
      <c r="AM329" s="130"/>
      <c r="AN329" s="130"/>
      <c r="AO329" s="130"/>
      <c r="AP329" s="130"/>
      <c r="AQ329" s="130"/>
      <c r="AR329" s="130"/>
      <c r="AS329" s="130"/>
      <c r="AT329" s="130"/>
      <c r="AU329" s="130"/>
      <c r="AV329" s="130"/>
      <c r="AW329" s="130"/>
      <c r="AX329" s="130"/>
      <c r="AY329" s="130"/>
      <c r="AZ329" s="130"/>
      <c r="BA329" s="130"/>
      <c r="BB329" s="130"/>
      <c r="BC329" s="127"/>
    </row>
    <row r="330" spans="1:55" ht="12" customHeight="1">
      <c r="A330" s="60"/>
      <c r="B330" s="102">
        <v>45.010000000000097</v>
      </c>
      <c r="C330" s="365">
        <v>0.54800000000000004</v>
      </c>
      <c r="D330" s="104">
        <f t="shared" si="279"/>
        <v>-30999.700000000008</v>
      </c>
      <c r="E330" s="104">
        <f t="shared" ref="E330" si="401">E329-(E477-E427)</f>
        <v>-30999.700000000008</v>
      </c>
      <c r="F330" s="104">
        <f t="shared" si="279"/>
        <v>-30999.700000000008</v>
      </c>
      <c r="G330" s="104">
        <f t="shared" ref="G330" si="402">G329-(G477-G427)</f>
        <v>-30999.700000000008</v>
      </c>
      <c r="H330" s="104">
        <f t="shared" si="282"/>
        <v>-29999.700000000004</v>
      </c>
      <c r="I330" s="104">
        <f t="shared" ref="I330" si="403">I329-(I477-I427)</f>
        <v>-29999.700000000004</v>
      </c>
      <c r="J330" s="104">
        <f t="shared" ref="J330" si="404">J329-(J477-J427)</f>
        <v>-29999.700000000004</v>
      </c>
      <c r="K330" s="104">
        <f t="shared" si="282"/>
        <v>-29999.700000000004</v>
      </c>
      <c r="X330" s="183"/>
      <c r="Y330" s="130"/>
      <c r="Z330" s="130"/>
      <c r="AA330" s="130"/>
      <c r="AB330" s="130"/>
      <c r="AC330" s="130"/>
      <c r="AD330" s="130"/>
      <c r="AE330" s="130"/>
      <c r="AF330" s="130"/>
      <c r="AG330" s="130"/>
      <c r="AH330" s="130"/>
      <c r="AI330" s="130"/>
      <c r="AJ330" s="130"/>
      <c r="AK330" s="130"/>
      <c r="AL330" s="130"/>
      <c r="AM330" s="130"/>
      <c r="AN330" s="130"/>
      <c r="AO330" s="130"/>
      <c r="AP330" s="130"/>
      <c r="AQ330" s="130"/>
      <c r="AR330" s="130"/>
      <c r="AS330" s="130"/>
      <c r="AT330" s="130"/>
      <c r="AU330" s="130"/>
      <c r="AV330" s="130"/>
      <c r="AW330" s="130"/>
      <c r="AX330" s="130"/>
      <c r="AY330" s="130"/>
      <c r="AZ330" s="130"/>
      <c r="BA330" s="130"/>
      <c r="BB330" s="130"/>
    </row>
    <row r="331" spans="1:55" ht="12" customHeight="1">
      <c r="A331" s="60"/>
      <c r="B331" s="102">
        <v>46.010000000000097</v>
      </c>
      <c r="C331" s="365">
        <v>0.56799999999999995</v>
      </c>
      <c r="D331" s="104">
        <f t="shared" si="279"/>
        <v>-31999.690000000006</v>
      </c>
      <c r="E331" s="104">
        <f t="shared" ref="E331" si="405">E330-(E478-E428)</f>
        <v>-31999.690000000006</v>
      </c>
      <c r="F331" s="104">
        <f t="shared" si="279"/>
        <v>-31999.690000000006</v>
      </c>
      <c r="G331" s="104">
        <f t="shared" ref="G331" si="406">G330-(G478-G428)</f>
        <v>-31999.690000000006</v>
      </c>
      <c r="H331" s="104">
        <f t="shared" si="282"/>
        <v>-30999.690000000002</v>
      </c>
      <c r="I331" s="104">
        <f t="shared" ref="I331" si="407">I330-(I478-I428)</f>
        <v>-30999.690000000002</v>
      </c>
      <c r="J331" s="104">
        <f t="shared" ref="J331" si="408">J330-(J478-J428)</f>
        <v>-30999.690000000002</v>
      </c>
      <c r="K331" s="104">
        <f t="shared" si="282"/>
        <v>-30999.690000000002</v>
      </c>
      <c r="X331" s="183"/>
      <c r="Y331" s="130"/>
      <c r="Z331" s="130"/>
      <c r="AA331" s="130"/>
      <c r="AB331" s="130"/>
      <c r="AC331" s="130"/>
      <c r="AD331" s="130"/>
      <c r="AE331" s="130"/>
      <c r="AF331" s="130"/>
      <c r="AG331" s="130"/>
      <c r="AH331" s="130"/>
      <c r="AI331" s="130"/>
      <c r="AJ331" s="130"/>
      <c r="AK331" s="130"/>
      <c r="AL331" s="130"/>
      <c r="AM331" s="130"/>
      <c r="AN331" s="130"/>
      <c r="AO331" s="130"/>
      <c r="AP331" s="130"/>
      <c r="AQ331" s="130"/>
      <c r="AR331" s="130"/>
      <c r="AS331" s="130"/>
      <c r="AT331" s="130"/>
      <c r="AU331" s="130"/>
      <c r="AV331" s="130"/>
      <c r="AW331" s="130"/>
      <c r="AX331" s="130"/>
      <c r="AY331" s="130"/>
      <c r="AZ331" s="130"/>
      <c r="BA331" s="130"/>
      <c r="BB331" s="130"/>
    </row>
    <row r="332" spans="1:55" ht="12" customHeight="1">
      <c r="A332" s="60"/>
      <c r="B332" s="102">
        <v>47.010000000000097</v>
      </c>
      <c r="C332" s="365">
        <v>0.58799999999999997</v>
      </c>
      <c r="D332" s="104">
        <f t="shared" si="279"/>
        <v>-32999.680000000008</v>
      </c>
      <c r="E332" s="104">
        <f t="shared" ref="E332" si="409">E331-(E479-E429)</f>
        <v>-32999.680000000008</v>
      </c>
      <c r="F332" s="104">
        <f t="shared" si="279"/>
        <v>-32999.680000000008</v>
      </c>
      <c r="G332" s="104">
        <f t="shared" ref="G332" si="410">G331-(G479-G429)</f>
        <v>-32999.680000000008</v>
      </c>
      <c r="H332" s="104">
        <f t="shared" si="282"/>
        <v>-31999.68</v>
      </c>
      <c r="I332" s="104">
        <f t="shared" ref="I332" si="411">I331-(I479-I429)</f>
        <v>-31999.68</v>
      </c>
      <c r="J332" s="104">
        <f t="shared" ref="J332" si="412">J331-(J479-J429)</f>
        <v>-31999.68</v>
      </c>
      <c r="K332" s="104">
        <f t="shared" si="282"/>
        <v>-31999.68</v>
      </c>
    </row>
    <row r="333" spans="1:55" ht="12" customHeight="1">
      <c r="A333" s="60"/>
      <c r="B333" s="102">
        <v>48.010000000000097</v>
      </c>
      <c r="C333" s="365">
        <v>0.60799999999999998</v>
      </c>
      <c r="D333" s="104">
        <f t="shared" si="279"/>
        <v>-33999.670000000006</v>
      </c>
      <c r="E333" s="104">
        <f t="shared" ref="E333" si="413">E332-(E480-E430)</f>
        <v>-33999.670000000006</v>
      </c>
      <c r="F333" s="104">
        <f t="shared" si="279"/>
        <v>-33999.670000000006</v>
      </c>
      <c r="G333" s="104">
        <f t="shared" ref="G333" si="414">G332-(G480-G430)</f>
        <v>-33999.670000000006</v>
      </c>
      <c r="H333" s="104">
        <f t="shared" si="282"/>
        <v>-32999.67</v>
      </c>
      <c r="I333" s="104">
        <f t="shared" ref="I333" si="415">I332-(I480-I430)</f>
        <v>-32999.67</v>
      </c>
      <c r="J333" s="104">
        <f t="shared" ref="J333" si="416">J332-(J480-J430)</f>
        <v>-32999.67</v>
      </c>
      <c r="K333" s="104">
        <f t="shared" si="282"/>
        <v>-32999.67</v>
      </c>
      <c r="BC333" s="130"/>
    </row>
    <row r="334" spans="1:55">
      <c r="A334" s="60"/>
      <c r="B334" s="102">
        <v>49.010000000000097</v>
      </c>
      <c r="C334" s="365">
        <v>0.628</v>
      </c>
      <c r="D334" s="104">
        <f t="shared" si="279"/>
        <v>-34999.660000000003</v>
      </c>
      <c r="E334" s="104">
        <f t="shared" ref="E334" si="417">E333-(E481-E431)</f>
        <v>-34999.660000000003</v>
      </c>
      <c r="F334" s="104">
        <f t="shared" si="279"/>
        <v>-34999.660000000003</v>
      </c>
      <c r="G334" s="104">
        <f t="shared" ref="G334" si="418">G333-(G481-G431)</f>
        <v>-34999.660000000003</v>
      </c>
      <c r="H334" s="104">
        <f t="shared" si="282"/>
        <v>-33999.659999999996</v>
      </c>
      <c r="I334" s="104">
        <f t="shared" ref="I334" si="419">I333-(I481-I431)</f>
        <v>-33999.659999999996</v>
      </c>
      <c r="J334" s="104">
        <f t="shared" ref="J334" si="420">J333-(J481-J431)</f>
        <v>-33999.659999999996</v>
      </c>
      <c r="K334" s="104">
        <f t="shared" si="282"/>
        <v>-33999.659999999996</v>
      </c>
      <c r="BC334" s="131"/>
    </row>
    <row r="335" spans="1:55">
      <c r="A335" s="60"/>
      <c r="B335" s="4" t="s">
        <v>122</v>
      </c>
      <c r="C335" s="115" t="s">
        <v>77</v>
      </c>
      <c r="D335" s="104">
        <f t="shared" si="279"/>
        <v>-35999.65</v>
      </c>
      <c r="E335" s="104">
        <f t="shared" ref="E335" si="421">E334-(E482-E432)</f>
        <v>-35999.65</v>
      </c>
      <c r="F335" s="104">
        <f t="shared" si="279"/>
        <v>-35999.65</v>
      </c>
      <c r="G335" s="104">
        <f t="shared" ref="G335" si="422">G334-(G482-G432)</f>
        <v>-35999.65</v>
      </c>
      <c r="H335" s="104">
        <f t="shared" si="282"/>
        <v>-34999.649999999994</v>
      </c>
      <c r="I335" s="104">
        <f t="shared" ref="I335" si="423">I334-(I482-I432)</f>
        <v>-34999.649999999994</v>
      </c>
      <c r="J335" s="104">
        <f t="shared" ref="J335" si="424">J334-(J482-J432)</f>
        <v>-34999.649999999994</v>
      </c>
      <c r="K335" s="104">
        <f t="shared" si="282"/>
        <v>-34999.649999999994</v>
      </c>
      <c r="BC335" s="131"/>
    </row>
    <row r="336" spans="1:55">
      <c r="A336" s="60"/>
      <c r="B336" s="8">
        <v>15</v>
      </c>
      <c r="C336" s="366">
        <v>45.252000000000002</v>
      </c>
      <c r="D336" s="104">
        <f t="shared" si="279"/>
        <v>-36999.64</v>
      </c>
      <c r="E336" s="104">
        <f t="shared" ref="E336" si="425">E335-(E483-E433)</f>
        <v>-36999.64</v>
      </c>
      <c r="F336" s="104">
        <f t="shared" si="279"/>
        <v>-36999.64</v>
      </c>
      <c r="G336" s="104">
        <f t="shared" ref="G336" si="426">G335-(G483-G433)</f>
        <v>-36999.64</v>
      </c>
      <c r="H336" s="104">
        <f t="shared" si="282"/>
        <v>-35999.639999999992</v>
      </c>
      <c r="I336" s="104">
        <f t="shared" ref="I336" si="427">I335-(I483-I433)</f>
        <v>-35999.639999999992</v>
      </c>
      <c r="J336" s="104">
        <f t="shared" ref="J336" si="428">J335-(J483-J433)</f>
        <v>-35999.639999999992</v>
      </c>
      <c r="K336" s="104">
        <f t="shared" si="282"/>
        <v>-35999.639999999992</v>
      </c>
      <c r="X336" s="126"/>
      <c r="Y336" s="127"/>
      <c r="Z336" s="127"/>
      <c r="AA336" s="127"/>
      <c r="AB336" s="127"/>
      <c r="AC336" s="127"/>
      <c r="AD336" s="127"/>
      <c r="AE336" s="127"/>
      <c r="AF336" s="127"/>
      <c r="AG336" s="127"/>
      <c r="AH336" s="127"/>
      <c r="AI336" s="127"/>
      <c r="AJ336" s="127"/>
      <c r="AK336" s="127"/>
      <c r="AL336" s="127"/>
      <c r="AM336" s="127"/>
      <c r="AN336" s="127"/>
      <c r="AO336" s="127"/>
      <c r="AP336" s="127"/>
      <c r="AQ336" s="127"/>
      <c r="AR336" s="127"/>
      <c r="AS336" s="127"/>
      <c r="AT336" s="127"/>
      <c r="AU336" s="127"/>
      <c r="AV336" s="127"/>
      <c r="AW336" s="127"/>
      <c r="AX336" s="127"/>
      <c r="AY336" s="127"/>
      <c r="AZ336" s="130"/>
      <c r="BA336" s="130"/>
      <c r="BB336" s="130"/>
      <c r="BC336" s="131"/>
    </row>
    <row r="337" spans="1:55">
      <c r="A337" s="60"/>
      <c r="B337" s="8">
        <v>16</v>
      </c>
      <c r="C337" s="366">
        <v>44.841999999999999</v>
      </c>
      <c r="D337" s="104">
        <f t="shared" si="279"/>
        <v>-37999.629999999997</v>
      </c>
      <c r="E337" s="104">
        <f t="shared" ref="E337" si="429">E336-(E484-E434)</f>
        <v>-37999.629999999997</v>
      </c>
      <c r="F337" s="104">
        <f t="shared" si="279"/>
        <v>-37999.629999999997</v>
      </c>
      <c r="G337" s="104">
        <f t="shared" ref="G337" si="430">G336-(G484-G434)</f>
        <v>-37999.629999999997</v>
      </c>
      <c r="H337" s="104">
        <f t="shared" si="282"/>
        <v>-36999.62999999999</v>
      </c>
      <c r="I337" s="104">
        <f t="shared" ref="I337" si="431">I336-(I484-I434)</f>
        <v>-36999.62999999999</v>
      </c>
      <c r="J337" s="104">
        <f t="shared" ref="J337" si="432">J336-(J484-J434)</f>
        <v>-36999.62999999999</v>
      </c>
      <c r="K337" s="104">
        <f t="shared" si="282"/>
        <v>-36999.62999999999</v>
      </c>
      <c r="BB337" s="131"/>
      <c r="BC337" s="131"/>
    </row>
    <row r="338" spans="1:55" ht="12" customHeight="1">
      <c r="A338" s="60"/>
      <c r="B338" s="8">
        <v>17</v>
      </c>
      <c r="C338" s="366">
        <v>44.427</v>
      </c>
      <c r="D338" s="104">
        <f t="shared" si="279"/>
        <v>-38999.619999999995</v>
      </c>
      <c r="E338" s="104">
        <f t="shared" ref="E338" si="433">E337-(E485-E435)</f>
        <v>-38999.619999999995</v>
      </c>
      <c r="F338" s="104">
        <f t="shared" si="279"/>
        <v>-38999.619999999995</v>
      </c>
      <c r="G338" s="104">
        <f t="shared" ref="G338" si="434">G337-(G485-G435)</f>
        <v>-38999.619999999995</v>
      </c>
      <c r="H338" s="104">
        <f t="shared" si="282"/>
        <v>-37999.619999999988</v>
      </c>
      <c r="I338" s="104">
        <f t="shared" ref="I338" si="435">I337-(I485-I435)</f>
        <v>-37999.619999999988</v>
      </c>
      <c r="J338" s="104">
        <f t="shared" ref="J338" si="436">J337-(J485-J435)</f>
        <v>-37999.619999999988</v>
      </c>
      <c r="K338" s="104">
        <f t="shared" si="282"/>
        <v>-37999.619999999988</v>
      </c>
      <c r="BB338" s="131"/>
      <c r="BC338" s="130"/>
    </row>
    <row r="339" spans="1:55" ht="12" customHeight="1">
      <c r="A339" s="60"/>
      <c r="B339" s="8">
        <v>18</v>
      </c>
      <c r="C339" s="366">
        <v>44.01</v>
      </c>
      <c r="D339" s="104">
        <f t="shared" si="279"/>
        <v>-39999.609999999993</v>
      </c>
      <c r="E339" s="104">
        <f t="shared" ref="E339" si="437">E338-(E486-E436)</f>
        <v>-39999.609999999993</v>
      </c>
      <c r="F339" s="104">
        <f t="shared" si="279"/>
        <v>-39999.609999999993</v>
      </c>
      <c r="G339" s="104">
        <f t="shared" ref="G339" si="438">G338-(G486-G436)</f>
        <v>-39999.609999999993</v>
      </c>
      <c r="H339" s="104">
        <f t="shared" si="282"/>
        <v>-38999.609999999986</v>
      </c>
      <c r="I339" s="104">
        <f t="shared" ref="I339" si="439">I338-(I486-I436)</f>
        <v>-38999.609999999986</v>
      </c>
      <c r="J339" s="104">
        <f t="shared" ref="J339" si="440">J338-(J486-J436)</f>
        <v>-38999.609999999986</v>
      </c>
      <c r="K339" s="104">
        <f t="shared" si="282"/>
        <v>-38999.609999999986</v>
      </c>
      <c r="BB339" s="131"/>
      <c r="BC339" s="130"/>
    </row>
    <row r="340" spans="1:55" ht="12" customHeight="1">
      <c r="A340" s="60"/>
      <c r="B340" s="8">
        <v>19</v>
      </c>
      <c r="C340" s="366">
        <v>43.588000000000001</v>
      </c>
      <c r="D340" s="104">
        <f t="shared" si="279"/>
        <v>-40999.599999999991</v>
      </c>
      <c r="E340" s="104">
        <f t="shared" ref="E340" si="441">E339-(E487-E437)</f>
        <v>-40999.599999999991</v>
      </c>
      <c r="F340" s="104">
        <f t="shared" si="279"/>
        <v>-40999.599999999991</v>
      </c>
      <c r="G340" s="104">
        <f t="shared" ref="G340" si="442">G339-(G487-G437)</f>
        <v>-40999.599999999991</v>
      </c>
      <c r="H340" s="104">
        <f t="shared" si="282"/>
        <v>-39999.599999999984</v>
      </c>
      <c r="I340" s="104">
        <f t="shared" ref="I340" si="443">I339-(I487-I437)</f>
        <v>-39999.599999999984</v>
      </c>
      <c r="J340" s="104">
        <f t="shared" ref="J340" si="444">J339-(J487-J437)</f>
        <v>-39999.599999999984</v>
      </c>
      <c r="K340" s="104">
        <f t="shared" si="282"/>
        <v>-39999.599999999984</v>
      </c>
      <c r="X340" s="183"/>
      <c r="Y340" s="130"/>
      <c r="Z340" s="130"/>
      <c r="AA340" s="130"/>
      <c r="AB340" s="130"/>
      <c r="AC340" s="130"/>
      <c r="AD340" s="130"/>
      <c r="AE340" s="130"/>
      <c r="AF340" s="130"/>
      <c r="AG340" s="130"/>
      <c r="AH340" s="130"/>
      <c r="AI340" s="130"/>
      <c r="AJ340" s="130"/>
      <c r="AK340" s="130"/>
      <c r="AL340" s="130"/>
      <c r="AM340" s="130"/>
      <c r="AN340" s="130"/>
      <c r="AO340" s="130"/>
      <c r="AP340" s="130"/>
      <c r="BB340" s="131"/>
      <c r="BC340" s="130"/>
    </row>
    <row r="341" spans="1:55" ht="12" customHeight="1">
      <c r="A341" s="60"/>
      <c r="B341" s="8">
        <v>20</v>
      </c>
      <c r="C341" s="366">
        <v>43.161999999999999</v>
      </c>
      <c r="D341" s="104">
        <f t="shared" si="279"/>
        <v>-41999.589999999989</v>
      </c>
      <c r="E341" s="104">
        <f t="shared" ref="E341" si="445">E340-(E488-E438)</f>
        <v>-41999.589999999989</v>
      </c>
      <c r="F341" s="104">
        <f t="shared" si="279"/>
        <v>-41999.589999999989</v>
      </c>
      <c r="G341" s="104">
        <f t="shared" ref="G341" si="446">G340-(G488-G438)</f>
        <v>-41999.589999999989</v>
      </c>
      <c r="H341" s="104">
        <f t="shared" si="282"/>
        <v>-40999.589999999982</v>
      </c>
      <c r="I341" s="104">
        <f t="shared" ref="I341" si="447">I340-(I488-I438)</f>
        <v>-40999.589999999982</v>
      </c>
      <c r="J341" s="104">
        <f t="shared" ref="J341" si="448">J340-(J488-J438)</f>
        <v>-40999.589999999982</v>
      </c>
      <c r="K341" s="104">
        <f t="shared" si="282"/>
        <v>-40999.589999999982</v>
      </c>
      <c r="X341" s="184"/>
      <c r="Y341" s="131"/>
      <c r="Z341" s="131"/>
      <c r="AA341" s="131"/>
      <c r="AB341" s="131"/>
      <c r="AC341" s="131"/>
      <c r="AD341" s="131"/>
      <c r="AE341" s="131"/>
      <c r="AF341" s="131"/>
      <c r="AG341" s="131"/>
      <c r="AH341" s="131"/>
      <c r="AI341" s="131"/>
      <c r="AJ341" s="131"/>
      <c r="AK341" s="131"/>
      <c r="AL341" s="131"/>
      <c r="AM341" s="131"/>
      <c r="AN341" s="131"/>
      <c r="AO341" s="131"/>
      <c r="AP341" s="131"/>
      <c r="BB341" s="130"/>
    </row>
    <row r="342" spans="1:55" ht="12" customHeight="1">
      <c r="A342" s="60"/>
      <c r="B342" s="8">
        <v>21</v>
      </c>
      <c r="C342" s="366">
        <v>42.731000000000002</v>
      </c>
      <c r="D342" s="104">
        <f t="shared" si="279"/>
        <v>-42999.579999999987</v>
      </c>
      <c r="E342" s="104">
        <f t="shared" ref="E342" si="449">E341-(E489-E439)</f>
        <v>-42999.579999999987</v>
      </c>
      <c r="F342" s="104">
        <f t="shared" si="279"/>
        <v>-42999.579999999987</v>
      </c>
      <c r="G342" s="104">
        <f t="shared" ref="G342" si="450">G341-(G489-G439)</f>
        <v>-42999.579999999987</v>
      </c>
      <c r="H342" s="104">
        <f t="shared" si="282"/>
        <v>-41999.57999999998</v>
      </c>
      <c r="I342" s="104">
        <f t="shared" ref="I342" si="451">I341-(I489-I439)</f>
        <v>-41999.57999999998</v>
      </c>
      <c r="J342" s="104">
        <f t="shared" ref="J342" si="452">J341-(J489-J439)</f>
        <v>-41999.57999999998</v>
      </c>
      <c r="K342" s="104">
        <f t="shared" si="282"/>
        <v>-41999.57999999998</v>
      </c>
      <c r="X342" s="184"/>
      <c r="Y342" s="131"/>
      <c r="Z342" s="131"/>
      <c r="AA342" s="131"/>
      <c r="AB342" s="131"/>
      <c r="AC342" s="131"/>
      <c r="AD342" s="131"/>
      <c r="AE342" s="131"/>
      <c r="AF342" s="131"/>
      <c r="AG342" s="131"/>
      <c r="AH342" s="131"/>
      <c r="AI342" s="131"/>
      <c r="AJ342" s="131"/>
      <c r="AK342" s="131"/>
      <c r="AL342" s="131"/>
      <c r="AM342" s="131"/>
      <c r="AN342" s="131"/>
      <c r="AO342" s="131"/>
      <c r="AP342" s="131"/>
      <c r="BB342" s="130"/>
    </row>
    <row r="343" spans="1:55" ht="12" customHeight="1">
      <c r="A343" s="60"/>
      <c r="B343" s="8">
        <v>22</v>
      </c>
      <c r="C343" s="366">
        <v>42.295000000000002</v>
      </c>
      <c r="D343" s="104">
        <f t="shared" si="279"/>
        <v>-43999.569999999985</v>
      </c>
      <c r="E343" s="104">
        <f t="shared" ref="E343" si="453">E342-(E490-E440)</f>
        <v>-43999.569999999985</v>
      </c>
      <c r="F343" s="104">
        <f t="shared" si="279"/>
        <v>-43999.569999999985</v>
      </c>
      <c r="G343" s="104">
        <f t="shared" ref="G343" si="454">G342-(G490-G440)</f>
        <v>-43999.569999999985</v>
      </c>
      <c r="H343" s="104">
        <f t="shared" si="282"/>
        <v>-42999.569999999978</v>
      </c>
      <c r="I343" s="104">
        <f t="shared" ref="I343" si="455">I342-(I490-I440)</f>
        <v>-42999.569999999978</v>
      </c>
      <c r="J343" s="104">
        <f t="shared" ref="J343" si="456">J342-(J490-J440)</f>
        <v>-42999.569999999978</v>
      </c>
      <c r="K343" s="104">
        <f t="shared" si="282"/>
        <v>-42999.569999999978</v>
      </c>
      <c r="X343" s="184"/>
      <c r="Y343" s="131"/>
      <c r="Z343" s="131"/>
      <c r="AA343" s="131"/>
      <c r="AB343" s="131"/>
      <c r="AC343" s="131"/>
      <c r="AD343" s="131"/>
      <c r="AE343" s="131"/>
      <c r="AF343" s="131"/>
      <c r="AG343" s="131"/>
      <c r="AH343" s="131"/>
      <c r="AI343" s="131"/>
      <c r="AJ343" s="131"/>
      <c r="AK343" s="131"/>
      <c r="AL343" s="131"/>
      <c r="AM343" s="131"/>
      <c r="AN343" s="131"/>
      <c r="AO343" s="131"/>
      <c r="AP343" s="131"/>
      <c r="BB343" s="130"/>
      <c r="BC343" s="127"/>
    </row>
    <row r="344" spans="1:55" ht="12" customHeight="1">
      <c r="A344" s="60"/>
      <c r="B344" s="8">
        <v>23</v>
      </c>
      <c r="C344" s="366">
        <v>41.853000000000002</v>
      </c>
      <c r="D344" s="104">
        <f t="shared" si="279"/>
        <v>-44999.559999999983</v>
      </c>
      <c r="E344" s="104">
        <f t="shared" ref="E344" si="457">E343-(E491-E441)</f>
        <v>-44999.559999999983</v>
      </c>
      <c r="F344" s="104">
        <f t="shared" si="279"/>
        <v>-44999.559999999983</v>
      </c>
      <c r="G344" s="104">
        <f t="shared" ref="G344" si="458">G343-(G491-G441)</f>
        <v>-44999.559999999983</v>
      </c>
      <c r="H344" s="104">
        <f t="shared" si="282"/>
        <v>-43999.559999999976</v>
      </c>
      <c r="I344" s="104">
        <f t="shared" ref="I344" si="459">I343-(I491-I441)</f>
        <v>-43999.559999999976</v>
      </c>
      <c r="J344" s="104">
        <f t="shared" ref="J344" si="460">J343-(J491-J441)</f>
        <v>-43999.559999999976</v>
      </c>
      <c r="K344" s="104">
        <f t="shared" si="282"/>
        <v>-43999.559999999976</v>
      </c>
      <c r="X344" s="184"/>
      <c r="Y344" s="131"/>
      <c r="Z344" s="131"/>
      <c r="AA344" s="131"/>
      <c r="AB344" s="131"/>
      <c r="AC344" s="131"/>
      <c r="AD344" s="131"/>
      <c r="AE344" s="131"/>
      <c r="AF344" s="131"/>
      <c r="AG344" s="131"/>
      <c r="AH344" s="131"/>
      <c r="AI344" s="131"/>
      <c r="AJ344" s="131"/>
      <c r="AK344" s="131"/>
      <c r="AL344" s="131"/>
      <c r="AM344" s="131"/>
      <c r="AN344" s="131"/>
      <c r="AO344" s="131"/>
      <c r="AP344" s="131"/>
    </row>
    <row r="345" spans="1:55">
      <c r="A345" s="60"/>
      <c r="B345" s="8">
        <v>24</v>
      </c>
      <c r="C345" s="366">
        <v>41.405999999999999</v>
      </c>
      <c r="D345" s="104">
        <f t="shared" si="279"/>
        <v>-45999.549999999981</v>
      </c>
      <c r="E345" s="104">
        <f t="shared" ref="E345" si="461">E344-(E492-E442)</f>
        <v>-45999.549999999981</v>
      </c>
      <c r="F345" s="104">
        <f t="shared" si="279"/>
        <v>-45999.549999999981</v>
      </c>
      <c r="G345" s="104">
        <f t="shared" ref="G345" si="462">G344-(G492-G442)</f>
        <v>-45999.549999999981</v>
      </c>
      <c r="H345" s="104">
        <f t="shared" si="282"/>
        <v>-44999.549999999974</v>
      </c>
      <c r="I345" s="104">
        <f t="shared" ref="I345" si="463">I344-(I492-I442)</f>
        <v>-44999.549999999974</v>
      </c>
      <c r="J345" s="104">
        <f t="shared" ref="J345" si="464">J344-(J492-J442)</f>
        <v>-44999.549999999974</v>
      </c>
      <c r="K345" s="104">
        <f t="shared" si="282"/>
        <v>-44999.549999999974</v>
      </c>
      <c r="X345" s="183"/>
      <c r="Y345" s="130"/>
      <c r="Z345" s="130"/>
      <c r="AA345" s="130"/>
      <c r="AB345" s="130"/>
      <c r="AC345" s="130"/>
      <c r="AD345" s="130"/>
      <c r="AE345" s="130"/>
      <c r="AF345" s="130"/>
      <c r="AG345" s="130"/>
      <c r="AH345" s="130"/>
      <c r="AI345" s="130"/>
      <c r="AJ345" s="130"/>
      <c r="AK345" s="130"/>
      <c r="AL345" s="130"/>
      <c r="AM345" s="130"/>
      <c r="AN345" s="130"/>
      <c r="AO345" s="130"/>
      <c r="AP345" s="130"/>
    </row>
    <row r="346" spans="1:55">
      <c r="A346" s="60"/>
      <c r="B346" s="8">
        <v>25</v>
      </c>
      <c r="C346" s="366">
        <v>40.951999999999998</v>
      </c>
      <c r="D346" s="104">
        <f t="shared" si="279"/>
        <v>-46999.539999999979</v>
      </c>
      <c r="E346" s="104">
        <f t="shared" ref="E346" si="465">E345-(E493-E443)</f>
        <v>-46999.539999999979</v>
      </c>
      <c r="F346" s="104">
        <f t="shared" si="279"/>
        <v>-46999.539999999979</v>
      </c>
      <c r="G346" s="104">
        <f t="shared" ref="G346" si="466">G345-(G493-G443)</f>
        <v>-46999.539999999979</v>
      </c>
      <c r="H346" s="104">
        <f t="shared" si="282"/>
        <v>-45999.539999999972</v>
      </c>
      <c r="I346" s="104">
        <f t="shared" ref="I346" si="467">I345-(I493-I443)</f>
        <v>-45999.539999999972</v>
      </c>
      <c r="J346" s="104">
        <f t="shared" ref="J346" si="468">J345-(J493-J443)</f>
        <v>-45999.539999999972</v>
      </c>
      <c r="K346" s="104">
        <f t="shared" si="282"/>
        <v>-45999.539999999972</v>
      </c>
      <c r="X346" s="183"/>
      <c r="Y346" s="130"/>
      <c r="Z346" s="130"/>
      <c r="AA346" s="130"/>
      <c r="AB346" s="130"/>
      <c r="AC346" s="130"/>
      <c r="AD346" s="130"/>
      <c r="AE346" s="130"/>
      <c r="AF346" s="130"/>
      <c r="AG346" s="130"/>
      <c r="AH346" s="130"/>
      <c r="AI346" s="130"/>
      <c r="AJ346" s="130"/>
      <c r="AK346" s="130"/>
      <c r="AL346" s="130"/>
      <c r="AM346" s="130"/>
      <c r="AN346" s="130"/>
      <c r="AO346" s="130"/>
      <c r="AP346" s="130"/>
      <c r="BB346" s="127"/>
    </row>
    <row r="347" spans="1:55" ht="12" customHeight="1">
      <c r="A347" s="60"/>
      <c r="B347" s="8">
        <v>26</v>
      </c>
      <c r="C347" s="366">
        <v>40.494</v>
      </c>
      <c r="D347" s="105">
        <f t="shared" ref="D347:K347" ca="1" si="469">SUM(D348:D395)</f>
        <v>402.25380000000001</v>
      </c>
      <c r="E347" s="105">
        <f t="shared" ref="E347" ca="1" si="470">SUM(E348:E395)</f>
        <v>402.25380000000001</v>
      </c>
      <c r="F347" s="105">
        <f t="shared" si="469"/>
        <v>402.25380000000001</v>
      </c>
      <c r="G347" s="105">
        <f t="shared" si="469"/>
        <v>402.25380000000001</v>
      </c>
      <c r="H347" s="105">
        <f t="shared" ca="1" si="469"/>
        <v>503.65380000000005</v>
      </c>
      <c r="I347" s="105">
        <f t="shared" ref="I347" ca="1" si="471">SUM(I348:I395)</f>
        <v>503.65380000000005</v>
      </c>
      <c r="J347" s="105">
        <f t="shared" si="469"/>
        <v>503.65380000000005</v>
      </c>
      <c r="K347" s="105">
        <f t="shared" si="469"/>
        <v>503.65380000000005</v>
      </c>
      <c r="X347" s="183"/>
      <c r="Y347" s="130"/>
      <c r="Z347" s="130"/>
      <c r="AA347" s="130"/>
      <c r="AB347" s="130"/>
      <c r="AC347" s="130"/>
      <c r="AD347" s="130"/>
      <c r="AE347" s="130"/>
      <c r="AF347" s="130"/>
      <c r="AG347" s="130"/>
      <c r="AH347" s="130"/>
      <c r="AI347" s="130"/>
      <c r="AJ347" s="130"/>
      <c r="AK347" s="130"/>
      <c r="AL347" s="130"/>
      <c r="AM347" s="130"/>
      <c r="AN347" s="130"/>
      <c r="AO347" s="130"/>
      <c r="AP347" s="130"/>
    </row>
    <row r="348" spans="1:55" ht="12" customHeight="1">
      <c r="A348" s="60"/>
      <c r="B348" s="8">
        <v>27</v>
      </c>
      <c r="C348" s="366">
        <v>40.029000000000003</v>
      </c>
      <c r="D348" s="432">
        <f ca="1">IF(D299&gt;0,(D$152*0+(D$152-D$48-D$49)*1)*MIN(D447-D397,D299)*D496,0)</f>
        <v>0</v>
      </c>
      <c r="E348" s="432">
        <f t="shared" ref="E348:K348" ca="1" si="472">IF(E299&gt;0,(E$152*0+(E$152-E$48-E$49)*1)*MIN(E447-E397,E299)*E496,0)</f>
        <v>0</v>
      </c>
      <c r="F348" s="432">
        <f t="shared" si="472"/>
        <v>0</v>
      </c>
      <c r="G348" s="432">
        <f t="shared" si="472"/>
        <v>0</v>
      </c>
      <c r="H348" s="432">
        <f t="shared" ca="1" si="472"/>
        <v>0</v>
      </c>
      <c r="I348" s="432">
        <f t="shared" ca="1" si="472"/>
        <v>0</v>
      </c>
      <c r="J348" s="432">
        <f t="shared" si="472"/>
        <v>0</v>
      </c>
      <c r="K348" s="432">
        <f t="shared" si="472"/>
        <v>0</v>
      </c>
      <c r="X348" s="126" t="s">
        <v>231</v>
      </c>
    </row>
    <row r="349" spans="1:55" ht="12.75" customHeight="1">
      <c r="A349" s="60"/>
      <c r="B349" s="8">
        <v>28</v>
      </c>
      <c r="C349" s="366">
        <v>39.558</v>
      </c>
      <c r="D349" s="433">
        <f t="shared" ref="D349:K395" ca="1" si="473">IF(D300&gt;0,(D$152*0+(D$152-D$48-D$49)*1)*MIN(D448-D398,D300)*D497,0)</f>
        <v>402.25380000000001</v>
      </c>
      <c r="E349" s="433">
        <f t="shared" ca="1" si="473"/>
        <v>402.25380000000001</v>
      </c>
      <c r="F349" s="433">
        <f t="shared" si="473"/>
        <v>402.25380000000001</v>
      </c>
      <c r="G349" s="433">
        <f t="shared" si="473"/>
        <v>402.25380000000001</v>
      </c>
      <c r="H349" s="433">
        <f t="shared" ca="1" si="473"/>
        <v>503.65380000000005</v>
      </c>
      <c r="I349" s="433">
        <f t="shared" ca="1" si="473"/>
        <v>503.65380000000005</v>
      </c>
      <c r="J349" s="433">
        <f t="shared" si="473"/>
        <v>503.65380000000005</v>
      </c>
      <c r="K349" s="433">
        <f t="shared" si="473"/>
        <v>503.65380000000005</v>
      </c>
      <c r="X349" s="126" t="s">
        <v>231</v>
      </c>
    </row>
    <row r="350" spans="1:55" ht="12.75" customHeight="1">
      <c r="A350" s="60"/>
      <c r="B350" s="8">
        <v>29</v>
      </c>
      <c r="C350" s="366">
        <v>39.081000000000003</v>
      </c>
      <c r="D350" s="433">
        <f t="shared" si="473"/>
        <v>0</v>
      </c>
      <c r="E350" s="433">
        <f t="shared" si="473"/>
        <v>0</v>
      </c>
      <c r="F350" s="433">
        <f t="shared" si="473"/>
        <v>0</v>
      </c>
      <c r="G350" s="433">
        <f t="shared" si="473"/>
        <v>0</v>
      </c>
      <c r="H350" s="433">
        <f t="shared" si="473"/>
        <v>0</v>
      </c>
      <c r="I350" s="433">
        <f t="shared" si="473"/>
        <v>0</v>
      </c>
      <c r="J350" s="433">
        <f t="shared" si="473"/>
        <v>0</v>
      </c>
      <c r="K350" s="433">
        <f t="shared" si="473"/>
        <v>0</v>
      </c>
      <c r="X350" s="126" t="s">
        <v>231</v>
      </c>
      <c r="Y350" s="127"/>
      <c r="Z350" s="127"/>
      <c r="AA350" s="127"/>
      <c r="AB350" s="127"/>
      <c r="AC350" s="127"/>
      <c r="AD350" s="127"/>
      <c r="AE350" s="127"/>
      <c r="AF350" s="127"/>
      <c r="AG350" s="127"/>
      <c r="AH350" s="127"/>
      <c r="AI350" s="127"/>
      <c r="AJ350" s="127"/>
      <c r="AK350" s="127"/>
      <c r="AL350" s="127"/>
      <c r="AM350" s="127"/>
      <c r="AN350" s="127"/>
      <c r="AO350" s="127"/>
      <c r="AP350" s="127"/>
    </row>
    <row r="351" spans="1:55" ht="12.75" customHeight="1">
      <c r="A351" s="60"/>
      <c r="B351" s="8">
        <v>30</v>
      </c>
      <c r="C351" s="366">
        <v>38.597999999999999</v>
      </c>
      <c r="D351" s="433">
        <f t="shared" si="473"/>
        <v>0</v>
      </c>
      <c r="E351" s="433">
        <f t="shared" si="473"/>
        <v>0</v>
      </c>
      <c r="F351" s="433">
        <f t="shared" si="473"/>
        <v>0</v>
      </c>
      <c r="G351" s="433">
        <f t="shared" si="473"/>
        <v>0</v>
      </c>
      <c r="H351" s="433">
        <f t="shared" si="473"/>
        <v>0</v>
      </c>
      <c r="I351" s="433">
        <f t="shared" si="473"/>
        <v>0</v>
      </c>
      <c r="J351" s="433">
        <f t="shared" si="473"/>
        <v>0</v>
      </c>
      <c r="K351" s="433">
        <f t="shared" si="473"/>
        <v>0</v>
      </c>
      <c r="X351" s="126" t="s">
        <v>231</v>
      </c>
    </row>
    <row r="352" spans="1:55" ht="12.75" customHeight="1">
      <c r="A352" s="60"/>
      <c r="B352" s="8">
        <v>31</v>
      </c>
      <c r="C352" s="366">
        <v>38.109000000000002</v>
      </c>
      <c r="D352" s="433">
        <f t="shared" si="473"/>
        <v>0</v>
      </c>
      <c r="E352" s="433">
        <f t="shared" si="473"/>
        <v>0</v>
      </c>
      <c r="F352" s="433">
        <f t="shared" si="473"/>
        <v>0</v>
      </c>
      <c r="G352" s="433">
        <f t="shared" si="473"/>
        <v>0</v>
      </c>
      <c r="H352" s="433">
        <f t="shared" si="473"/>
        <v>0</v>
      </c>
      <c r="I352" s="433">
        <f t="shared" si="473"/>
        <v>0</v>
      </c>
      <c r="J352" s="433">
        <f t="shared" si="473"/>
        <v>0</v>
      </c>
      <c r="K352" s="433">
        <f t="shared" si="473"/>
        <v>0</v>
      </c>
      <c r="X352" s="126" t="s">
        <v>231</v>
      </c>
    </row>
    <row r="353" spans="1:24" ht="12.75" customHeight="1">
      <c r="A353" s="60"/>
      <c r="B353" s="8">
        <v>32</v>
      </c>
      <c r="C353" s="366">
        <v>37.613999999999997</v>
      </c>
      <c r="D353" s="433">
        <f t="shared" si="473"/>
        <v>0</v>
      </c>
      <c r="E353" s="433">
        <f t="shared" si="473"/>
        <v>0</v>
      </c>
      <c r="F353" s="433">
        <f t="shared" si="473"/>
        <v>0</v>
      </c>
      <c r="G353" s="433">
        <f t="shared" si="473"/>
        <v>0</v>
      </c>
      <c r="H353" s="433">
        <f t="shared" si="473"/>
        <v>0</v>
      </c>
      <c r="I353" s="433">
        <f t="shared" si="473"/>
        <v>0</v>
      </c>
      <c r="J353" s="433">
        <f t="shared" si="473"/>
        <v>0</v>
      </c>
      <c r="K353" s="433">
        <f t="shared" si="473"/>
        <v>0</v>
      </c>
      <c r="X353" s="126" t="s">
        <v>231</v>
      </c>
    </row>
    <row r="354" spans="1:24" ht="12.75" customHeight="1">
      <c r="A354" s="60"/>
      <c r="B354" s="8">
        <v>33</v>
      </c>
      <c r="C354" s="366">
        <v>37.113</v>
      </c>
      <c r="D354" s="433">
        <f t="shared" si="473"/>
        <v>0</v>
      </c>
      <c r="E354" s="433">
        <f t="shared" si="473"/>
        <v>0</v>
      </c>
      <c r="F354" s="433">
        <f t="shared" si="473"/>
        <v>0</v>
      </c>
      <c r="G354" s="433">
        <f t="shared" si="473"/>
        <v>0</v>
      </c>
      <c r="H354" s="433">
        <f t="shared" si="473"/>
        <v>0</v>
      </c>
      <c r="I354" s="433">
        <f t="shared" si="473"/>
        <v>0</v>
      </c>
      <c r="J354" s="433">
        <f t="shared" si="473"/>
        <v>0</v>
      </c>
      <c r="K354" s="433">
        <f t="shared" si="473"/>
        <v>0</v>
      </c>
      <c r="X354" s="126" t="s">
        <v>231</v>
      </c>
    </row>
    <row r="355" spans="1:24" ht="12.75" customHeight="1">
      <c r="A355" s="60"/>
      <c r="B355" s="8">
        <v>34</v>
      </c>
      <c r="C355" s="366">
        <v>36.606000000000002</v>
      </c>
      <c r="D355" s="433">
        <f t="shared" si="473"/>
        <v>0</v>
      </c>
      <c r="E355" s="433">
        <f t="shared" si="473"/>
        <v>0</v>
      </c>
      <c r="F355" s="433">
        <f t="shared" si="473"/>
        <v>0</v>
      </c>
      <c r="G355" s="433">
        <f t="shared" si="473"/>
        <v>0</v>
      </c>
      <c r="H355" s="433">
        <f t="shared" si="473"/>
        <v>0</v>
      </c>
      <c r="I355" s="433">
        <f t="shared" si="473"/>
        <v>0</v>
      </c>
      <c r="J355" s="433">
        <f t="shared" si="473"/>
        <v>0</v>
      </c>
      <c r="K355" s="433">
        <f t="shared" si="473"/>
        <v>0</v>
      </c>
      <c r="X355" s="126" t="s">
        <v>231</v>
      </c>
    </row>
    <row r="356" spans="1:24" ht="12.75" customHeight="1">
      <c r="A356" s="60"/>
      <c r="B356" s="8">
        <v>35</v>
      </c>
      <c r="C356" s="366">
        <v>36.093000000000004</v>
      </c>
      <c r="D356" s="433">
        <f t="shared" si="473"/>
        <v>0</v>
      </c>
      <c r="E356" s="433">
        <f t="shared" si="473"/>
        <v>0</v>
      </c>
      <c r="F356" s="433">
        <f t="shared" si="473"/>
        <v>0</v>
      </c>
      <c r="G356" s="433">
        <f t="shared" si="473"/>
        <v>0</v>
      </c>
      <c r="H356" s="433">
        <f t="shared" si="473"/>
        <v>0</v>
      </c>
      <c r="I356" s="433">
        <f t="shared" si="473"/>
        <v>0</v>
      </c>
      <c r="J356" s="433">
        <f t="shared" si="473"/>
        <v>0</v>
      </c>
      <c r="K356" s="433">
        <f t="shared" si="473"/>
        <v>0</v>
      </c>
      <c r="X356" s="126" t="s">
        <v>231</v>
      </c>
    </row>
    <row r="357" spans="1:24" ht="12.75" customHeight="1">
      <c r="A357" s="60"/>
      <c r="B357" s="8">
        <v>36</v>
      </c>
      <c r="C357" s="366">
        <v>35.573999999999998</v>
      </c>
      <c r="D357" s="433">
        <f t="shared" si="473"/>
        <v>0</v>
      </c>
      <c r="E357" s="433">
        <f t="shared" si="473"/>
        <v>0</v>
      </c>
      <c r="F357" s="433">
        <f t="shared" si="473"/>
        <v>0</v>
      </c>
      <c r="G357" s="433">
        <f t="shared" si="473"/>
        <v>0</v>
      </c>
      <c r="H357" s="433">
        <f t="shared" si="473"/>
        <v>0</v>
      </c>
      <c r="I357" s="433">
        <f t="shared" si="473"/>
        <v>0</v>
      </c>
      <c r="J357" s="433">
        <f t="shared" si="473"/>
        <v>0</v>
      </c>
      <c r="K357" s="433">
        <f t="shared" si="473"/>
        <v>0</v>
      </c>
      <c r="X357" s="126" t="s">
        <v>231</v>
      </c>
    </row>
    <row r="358" spans="1:24" ht="12.75" customHeight="1">
      <c r="A358" s="60"/>
      <c r="B358" s="8">
        <v>37</v>
      </c>
      <c r="C358" s="366">
        <v>35.048999999999999</v>
      </c>
      <c r="D358" s="433">
        <f t="shared" si="473"/>
        <v>0</v>
      </c>
      <c r="E358" s="433">
        <f t="shared" si="473"/>
        <v>0</v>
      </c>
      <c r="F358" s="433">
        <f t="shared" si="473"/>
        <v>0</v>
      </c>
      <c r="G358" s="433">
        <f t="shared" si="473"/>
        <v>0</v>
      </c>
      <c r="H358" s="433">
        <f t="shared" si="473"/>
        <v>0</v>
      </c>
      <c r="I358" s="433">
        <f t="shared" si="473"/>
        <v>0</v>
      </c>
      <c r="J358" s="433">
        <f t="shared" si="473"/>
        <v>0</v>
      </c>
      <c r="K358" s="433">
        <f t="shared" si="473"/>
        <v>0</v>
      </c>
      <c r="X358" s="126" t="s">
        <v>231</v>
      </c>
    </row>
    <row r="359" spans="1:24" ht="12.75" customHeight="1">
      <c r="A359" s="60"/>
      <c r="B359" s="8">
        <v>38</v>
      </c>
      <c r="C359" s="366">
        <v>34.517000000000003</v>
      </c>
      <c r="D359" s="433">
        <f t="shared" si="473"/>
        <v>0</v>
      </c>
      <c r="E359" s="433">
        <f t="shared" si="473"/>
        <v>0</v>
      </c>
      <c r="F359" s="433">
        <f t="shared" si="473"/>
        <v>0</v>
      </c>
      <c r="G359" s="433">
        <f t="shared" si="473"/>
        <v>0</v>
      </c>
      <c r="H359" s="433">
        <f t="shared" si="473"/>
        <v>0</v>
      </c>
      <c r="I359" s="433">
        <f t="shared" si="473"/>
        <v>0</v>
      </c>
      <c r="J359" s="433">
        <f t="shared" si="473"/>
        <v>0</v>
      </c>
      <c r="K359" s="433">
        <f t="shared" si="473"/>
        <v>0</v>
      </c>
      <c r="X359" s="126" t="s">
        <v>231</v>
      </c>
    </row>
    <row r="360" spans="1:24" ht="12.75" customHeight="1">
      <c r="A360" s="60"/>
      <c r="B360" s="8">
        <v>39</v>
      </c>
      <c r="C360" s="366">
        <v>33.978999999999999</v>
      </c>
      <c r="D360" s="433">
        <f t="shared" si="473"/>
        <v>0</v>
      </c>
      <c r="E360" s="433">
        <f t="shared" si="473"/>
        <v>0</v>
      </c>
      <c r="F360" s="433">
        <f t="shared" si="473"/>
        <v>0</v>
      </c>
      <c r="G360" s="433">
        <f t="shared" si="473"/>
        <v>0</v>
      </c>
      <c r="H360" s="433">
        <f t="shared" si="473"/>
        <v>0</v>
      </c>
      <c r="I360" s="433">
        <f t="shared" si="473"/>
        <v>0</v>
      </c>
      <c r="J360" s="433">
        <f t="shared" si="473"/>
        <v>0</v>
      </c>
      <c r="K360" s="433">
        <f t="shared" si="473"/>
        <v>0</v>
      </c>
      <c r="X360" s="126" t="s">
        <v>231</v>
      </c>
    </row>
    <row r="361" spans="1:24" ht="12.75" customHeight="1">
      <c r="A361" s="60"/>
      <c r="B361" s="8">
        <v>40</v>
      </c>
      <c r="C361" s="366">
        <v>33.435000000000002</v>
      </c>
      <c r="D361" s="433">
        <f t="shared" si="473"/>
        <v>0</v>
      </c>
      <c r="E361" s="433">
        <f t="shared" si="473"/>
        <v>0</v>
      </c>
      <c r="F361" s="433">
        <f t="shared" si="473"/>
        <v>0</v>
      </c>
      <c r="G361" s="433">
        <f t="shared" si="473"/>
        <v>0</v>
      </c>
      <c r="H361" s="433">
        <f t="shared" si="473"/>
        <v>0</v>
      </c>
      <c r="I361" s="433">
        <f t="shared" si="473"/>
        <v>0</v>
      </c>
      <c r="J361" s="433">
        <f t="shared" si="473"/>
        <v>0</v>
      </c>
      <c r="K361" s="433">
        <f t="shared" si="473"/>
        <v>0</v>
      </c>
      <c r="X361" s="126" t="s">
        <v>231</v>
      </c>
    </row>
    <row r="362" spans="1:24">
      <c r="A362" s="60"/>
      <c r="B362" s="8">
        <v>41</v>
      </c>
      <c r="C362" s="366">
        <v>32.886000000000003</v>
      </c>
      <c r="D362" s="433">
        <f t="shared" si="473"/>
        <v>0</v>
      </c>
      <c r="E362" s="433">
        <f t="shared" si="473"/>
        <v>0</v>
      </c>
      <c r="F362" s="433">
        <f t="shared" si="473"/>
        <v>0</v>
      </c>
      <c r="G362" s="433">
        <f t="shared" si="473"/>
        <v>0</v>
      </c>
      <c r="H362" s="433">
        <f t="shared" si="473"/>
        <v>0</v>
      </c>
      <c r="I362" s="433">
        <f t="shared" si="473"/>
        <v>0</v>
      </c>
      <c r="J362" s="433">
        <f t="shared" si="473"/>
        <v>0</v>
      </c>
      <c r="K362" s="433">
        <f t="shared" si="473"/>
        <v>0</v>
      </c>
      <c r="X362" s="126" t="s">
        <v>231</v>
      </c>
    </row>
    <row r="363" spans="1:24" ht="12" customHeight="1">
      <c r="A363" s="60"/>
      <c r="B363" s="8">
        <v>42</v>
      </c>
      <c r="C363" s="366">
        <v>32.332000000000001</v>
      </c>
      <c r="D363" s="433">
        <f t="shared" si="473"/>
        <v>0</v>
      </c>
      <c r="E363" s="433">
        <f t="shared" si="473"/>
        <v>0</v>
      </c>
      <c r="F363" s="433">
        <f t="shared" si="473"/>
        <v>0</v>
      </c>
      <c r="G363" s="433">
        <f t="shared" si="473"/>
        <v>0</v>
      </c>
      <c r="H363" s="433">
        <f t="shared" si="473"/>
        <v>0</v>
      </c>
      <c r="I363" s="433">
        <f t="shared" si="473"/>
        <v>0</v>
      </c>
      <c r="J363" s="433">
        <f t="shared" si="473"/>
        <v>0</v>
      </c>
      <c r="K363" s="433">
        <f t="shared" si="473"/>
        <v>0</v>
      </c>
      <c r="X363" s="126" t="s">
        <v>231</v>
      </c>
    </row>
    <row r="364" spans="1:24" ht="12.75" customHeight="1">
      <c r="A364" s="60"/>
      <c r="B364" s="8">
        <v>43</v>
      </c>
      <c r="C364" s="366">
        <v>31.771999999999998</v>
      </c>
      <c r="D364" s="433">
        <f t="shared" si="473"/>
        <v>0</v>
      </c>
      <c r="E364" s="433">
        <f t="shared" si="473"/>
        <v>0</v>
      </c>
      <c r="F364" s="433">
        <f t="shared" si="473"/>
        <v>0</v>
      </c>
      <c r="G364" s="433">
        <f t="shared" si="473"/>
        <v>0</v>
      </c>
      <c r="H364" s="433">
        <f t="shared" si="473"/>
        <v>0</v>
      </c>
      <c r="I364" s="433">
        <f t="shared" si="473"/>
        <v>0</v>
      </c>
      <c r="J364" s="433">
        <f t="shared" si="473"/>
        <v>0</v>
      </c>
      <c r="K364" s="433">
        <f t="shared" si="473"/>
        <v>0</v>
      </c>
      <c r="X364" s="126" t="s">
        <v>231</v>
      </c>
    </row>
    <row r="365" spans="1:24" ht="12" customHeight="1">
      <c r="A365" s="60"/>
      <c r="B365" s="8">
        <v>44</v>
      </c>
      <c r="C365" s="366">
        <v>31.207999999999998</v>
      </c>
      <c r="D365" s="433">
        <f t="shared" si="473"/>
        <v>0</v>
      </c>
      <c r="E365" s="433">
        <f t="shared" si="473"/>
        <v>0</v>
      </c>
      <c r="F365" s="433">
        <f t="shared" si="473"/>
        <v>0</v>
      </c>
      <c r="G365" s="433">
        <f t="shared" si="473"/>
        <v>0</v>
      </c>
      <c r="H365" s="433">
        <f t="shared" si="473"/>
        <v>0</v>
      </c>
      <c r="I365" s="433">
        <f t="shared" si="473"/>
        <v>0</v>
      </c>
      <c r="J365" s="433">
        <f t="shared" si="473"/>
        <v>0</v>
      </c>
      <c r="K365" s="433">
        <f t="shared" si="473"/>
        <v>0</v>
      </c>
      <c r="X365" s="126" t="s">
        <v>231</v>
      </c>
    </row>
    <row r="366" spans="1:24" ht="12" customHeight="1">
      <c r="A366" s="60"/>
      <c r="B366" s="8">
        <v>45</v>
      </c>
      <c r="C366" s="366">
        <v>30.638999999999999</v>
      </c>
      <c r="D366" s="433">
        <f t="shared" si="473"/>
        <v>0</v>
      </c>
      <c r="E366" s="433">
        <f t="shared" si="473"/>
        <v>0</v>
      </c>
      <c r="F366" s="433">
        <f t="shared" si="473"/>
        <v>0</v>
      </c>
      <c r="G366" s="433">
        <f t="shared" si="473"/>
        <v>0</v>
      </c>
      <c r="H366" s="433">
        <f t="shared" si="473"/>
        <v>0</v>
      </c>
      <c r="I366" s="433">
        <f t="shared" si="473"/>
        <v>0</v>
      </c>
      <c r="J366" s="433">
        <f t="shared" si="473"/>
        <v>0</v>
      </c>
      <c r="K366" s="433">
        <f t="shared" si="473"/>
        <v>0</v>
      </c>
      <c r="X366" s="126" t="s">
        <v>231</v>
      </c>
    </row>
    <row r="367" spans="1:24" ht="12" customHeight="1">
      <c r="A367" s="60"/>
      <c r="B367" s="8">
        <v>46</v>
      </c>
      <c r="C367" s="366">
        <v>30.065999999999999</v>
      </c>
      <c r="D367" s="433">
        <f t="shared" si="473"/>
        <v>0</v>
      </c>
      <c r="E367" s="433">
        <f t="shared" si="473"/>
        <v>0</v>
      </c>
      <c r="F367" s="433">
        <f t="shared" si="473"/>
        <v>0</v>
      </c>
      <c r="G367" s="433">
        <f t="shared" si="473"/>
        <v>0</v>
      </c>
      <c r="H367" s="433">
        <f t="shared" si="473"/>
        <v>0</v>
      </c>
      <c r="I367" s="433">
        <f t="shared" si="473"/>
        <v>0</v>
      </c>
      <c r="J367" s="433">
        <f t="shared" si="473"/>
        <v>0</v>
      </c>
      <c r="K367" s="433">
        <f t="shared" si="473"/>
        <v>0</v>
      </c>
      <c r="X367" s="126" t="s">
        <v>231</v>
      </c>
    </row>
    <row r="368" spans="1:24" ht="12" customHeight="1">
      <c r="A368" s="60"/>
      <c r="B368" s="8">
        <v>47</v>
      </c>
      <c r="C368" s="366">
        <v>29.489000000000001</v>
      </c>
      <c r="D368" s="433">
        <f t="shared" si="473"/>
        <v>0</v>
      </c>
      <c r="E368" s="433">
        <f t="shared" si="473"/>
        <v>0</v>
      </c>
      <c r="F368" s="433">
        <f t="shared" si="473"/>
        <v>0</v>
      </c>
      <c r="G368" s="433">
        <f t="shared" si="473"/>
        <v>0</v>
      </c>
      <c r="H368" s="433">
        <f t="shared" si="473"/>
        <v>0</v>
      </c>
      <c r="I368" s="433">
        <f t="shared" si="473"/>
        <v>0</v>
      </c>
      <c r="J368" s="433">
        <f t="shared" si="473"/>
        <v>0</v>
      </c>
      <c r="K368" s="433">
        <f t="shared" si="473"/>
        <v>0</v>
      </c>
      <c r="X368" s="126" t="s">
        <v>231</v>
      </c>
    </row>
    <row r="369" spans="1:49" ht="12" customHeight="1">
      <c r="A369" s="60"/>
      <c r="B369" s="8">
        <v>48</v>
      </c>
      <c r="C369" s="366">
        <v>28.908000000000001</v>
      </c>
      <c r="D369" s="433">
        <f t="shared" si="473"/>
        <v>0</v>
      </c>
      <c r="E369" s="433">
        <f t="shared" si="473"/>
        <v>0</v>
      </c>
      <c r="F369" s="433">
        <f t="shared" si="473"/>
        <v>0</v>
      </c>
      <c r="G369" s="433">
        <f t="shared" si="473"/>
        <v>0</v>
      </c>
      <c r="H369" s="433">
        <f t="shared" si="473"/>
        <v>0</v>
      </c>
      <c r="I369" s="433">
        <f t="shared" si="473"/>
        <v>0</v>
      </c>
      <c r="J369" s="433">
        <f t="shared" si="473"/>
        <v>0</v>
      </c>
      <c r="K369" s="433">
        <f t="shared" si="473"/>
        <v>0</v>
      </c>
      <c r="X369" s="126" t="s">
        <v>231</v>
      </c>
      <c r="AF369" s="309"/>
      <c r="AG369" s="309"/>
      <c r="AH369" s="309"/>
      <c r="AI369" s="309"/>
      <c r="AJ369" s="309"/>
      <c r="AK369" s="309"/>
      <c r="AL369" s="309"/>
    </row>
    <row r="370" spans="1:49" ht="12" customHeight="1">
      <c r="A370" s="60"/>
      <c r="B370" s="8">
        <v>49</v>
      </c>
      <c r="C370" s="366">
        <v>28.323</v>
      </c>
      <c r="D370" s="433">
        <f t="shared" si="473"/>
        <v>0</v>
      </c>
      <c r="E370" s="433">
        <f t="shared" si="473"/>
        <v>0</v>
      </c>
      <c r="F370" s="433">
        <f t="shared" si="473"/>
        <v>0</v>
      </c>
      <c r="G370" s="433">
        <f t="shared" si="473"/>
        <v>0</v>
      </c>
      <c r="H370" s="433">
        <f t="shared" si="473"/>
        <v>0</v>
      </c>
      <c r="I370" s="433">
        <f t="shared" si="473"/>
        <v>0</v>
      </c>
      <c r="J370" s="433">
        <f t="shared" si="473"/>
        <v>0</v>
      </c>
      <c r="K370" s="433">
        <f t="shared" si="473"/>
        <v>0</v>
      </c>
      <c r="X370" s="126" t="s">
        <v>231</v>
      </c>
      <c r="AR370" s="308"/>
      <c r="AS370" s="308"/>
      <c r="AT370" s="308"/>
      <c r="AU370" s="308"/>
      <c r="AV370" s="308"/>
      <c r="AW370" s="308"/>
    </row>
    <row r="371" spans="1:49" ht="12" customHeight="1">
      <c r="A371" s="60"/>
      <c r="B371" s="8">
        <v>50</v>
      </c>
      <c r="C371" s="366">
        <v>27.734999999999999</v>
      </c>
      <c r="D371" s="433">
        <f t="shared" si="473"/>
        <v>0</v>
      </c>
      <c r="E371" s="433">
        <f t="shared" si="473"/>
        <v>0</v>
      </c>
      <c r="F371" s="433">
        <f t="shared" si="473"/>
        <v>0</v>
      </c>
      <c r="G371" s="433">
        <f t="shared" si="473"/>
        <v>0</v>
      </c>
      <c r="H371" s="433">
        <f t="shared" si="473"/>
        <v>0</v>
      </c>
      <c r="I371" s="433">
        <f t="shared" si="473"/>
        <v>0</v>
      </c>
      <c r="J371" s="433">
        <f t="shared" si="473"/>
        <v>0</v>
      </c>
      <c r="K371" s="433">
        <f t="shared" si="473"/>
        <v>0</v>
      </c>
      <c r="X371" s="126" t="s">
        <v>231</v>
      </c>
      <c r="AR371" s="308"/>
      <c r="AS371" s="308"/>
      <c r="AT371" s="308"/>
      <c r="AU371" s="308"/>
      <c r="AV371" s="308"/>
      <c r="AW371" s="308"/>
    </row>
    <row r="372" spans="1:49" ht="12" customHeight="1">
      <c r="A372" s="60"/>
      <c r="B372" s="8">
        <v>51</v>
      </c>
      <c r="C372" s="366">
        <v>27.143000000000001</v>
      </c>
      <c r="D372" s="433">
        <f t="shared" si="473"/>
        <v>0</v>
      </c>
      <c r="E372" s="433">
        <f t="shared" si="473"/>
        <v>0</v>
      </c>
      <c r="F372" s="433">
        <f t="shared" si="473"/>
        <v>0</v>
      </c>
      <c r="G372" s="433">
        <f t="shared" si="473"/>
        <v>0</v>
      </c>
      <c r="H372" s="433">
        <f t="shared" si="473"/>
        <v>0</v>
      </c>
      <c r="I372" s="433">
        <f t="shared" si="473"/>
        <v>0</v>
      </c>
      <c r="J372" s="433">
        <f t="shared" si="473"/>
        <v>0</v>
      </c>
      <c r="K372" s="433">
        <f t="shared" si="473"/>
        <v>0</v>
      </c>
      <c r="X372" s="126" t="s">
        <v>231</v>
      </c>
      <c r="AR372" s="308"/>
      <c r="AS372" s="308"/>
      <c r="AT372" s="308"/>
      <c r="AU372" s="308"/>
      <c r="AV372" s="308"/>
      <c r="AW372" s="308"/>
    </row>
    <row r="373" spans="1:49" ht="12" customHeight="1">
      <c r="A373" s="60"/>
      <c r="B373" s="8">
        <v>52</v>
      </c>
      <c r="C373" s="366">
        <v>26.547999999999998</v>
      </c>
      <c r="D373" s="433">
        <f t="shared" si="473"/>
        <v>0</v>
      </c>
      <c r="E373" s="433">
        <f t="shared" si="473"/>
        <v>0</v>
      </c>
      <c r="F373" s="433">
        <f t="shared" si="473"/>
        <v>0</v>
      </c>
      <c r="G373" s="433">
        <f t="shared" si="473"/>
        <v>0</v>
      </c>
      <c r="H373" s="433">
        <f t="shared" si="473"/>
        <v>0</v>
      </c>
      <c r="I373" s="433">
        <f t="shared" si="473"/>
        <v>0</v>
      </c>
      <c r="J373" s="433">
        <f t="shared" si="473"/>
        <v>0</v>
      </c>
      <c r="K373" s="433">
        <f t="shared" si="473"/>
        <v>0</v>
      </c>
      <c r="X373" s="126" t="s">
        <v>231</v>
      </c>
      <c r="AR373" s="308"/>
      <c r="AS373" s="308"/>
      <c r="AT373" s="308"/>
      <c r="AU373" s="308"/>
      <c r="AV373" s="308"/>
      <c r="AW373" s="308"/>
    </row>
    <row r="374" spans="1:49" ht="12" customHeight="1">
      <c r="A374" s="60"/>
      <c r="B374" s="8">
        <v>53</v>
      </c>
      <c r="C374" s="366">
        <v>25.949000000000002</v>
      </c>
      <c r="D374" s="433">
        <f t="shared" si="473"/>
        <v>0</v>
      </c>
      <c r="E374" s="433">
        <f t="shared" si="473"/>
        <v>0</v>
      </c>
      <c r="F374" s="433">
        <f t="shared" si="473"/>
        <v>0</v>
      </c>
      <c r="G374" s="433">
        <f t="shared" si="473"/>
        <v>0</v>
      </c>
      <c r="H374" s="433">
        <f t="shared" si="473"/>
        <v>0</v>
      </c>
      <c r="I374" s="433">
        <f t="shared" si="473"/>
        <v>0</v>
      </c>
      <c r="J374" s="433">
        <f t="shared" si="473"/>
        <v>0</v>
      </c>
      <c r="K374" s="433">
        <f t="shared" si="473"/>
        <v>0</v>
      </c>
      <c r="X374" s="126" t="s">
        <v>231</v>
      </c>
      <c r="AR374" s="308"/>
      <c r="AS374" s="308"/>
      <c r="AT374" s="308"/>
      <c r="AU374" s="308"/>
      <c r="AV374" s="308"/>
      <c r="AW374" s="308"/>
    </row>
    <row r="375" spans="1:49">
      <c r="A375" s="60"/>
      <c r="B375" s="8">
        <v>54</v>
      </c>
      <c r="C375" s="366">
        <v>25.347000000000001</v>
      </c>
      <c r="D375" s="433">
        <f t="shared" si="473"/>
        <v>0</v>
      </c>
      <c r="E375" s="433">
        <f t="shared" si="473"/>
        <v>0</v>
      </c>
      <c r="F375" s="433">
        <f t="shared" si="473"/>
        <v>0</v>
      </c>
      <c r="G375" s="433">
        <f t="shared" si="473"/>
        <v>0</v>
      </c>
      <c r="H375" s="433">
        <f t="shared" si="473"/>
        <v>0</v>
      </c>
      <c r="I375" s="433">
        <f t="shared" si="473"/>
        <v>0</v>
      </c>
      <c r="J375" s="433">
        <f t="shared" si="473"/>
        <v>0</v>
      </c>
      <c r="K375" s="433">
        <f t="shared" si="473"/>
        <v>0</v>
      </c>
      <c r="X375" s="126" t="s">
        <v>231</v>
      </c>
      <c r="AR375" s="308"/>
      <c r="AS375" s="308"/>
      <c r="AT375" s="308"/>
      <c r="AU375" s="308"/>
      <c r="AV375" s="308"/>
      <c r="AW375" s="308"/>
    </row>
    <row r="376" spans="1:49" ht="12" customHeight="1">
      <c r="A376" s="60"/>
      <c r="B376" s="8">
        <v>55</v>
      </c>
      <c r="C376" s="366">
        <v>24.742000000000001</v>
      </c>
      <c r="D376" s="433">
        <f t="shared" si="473"/>
        <v>0</v>
      </c>
      <c r="E376" s="433">
        <f t="shared" si="473"/>
        <v>0</v>
      </c>
      <c r="F376" s="433">
        <f t="shared" si="473"/>
        <v>0</v>
      </c>
      <c r="G376" s="433">
        <f t="shared" si="473"/>
        <v>0</v>
      </c>
      <c r="H376" s="433">
        <f t="shared" si="473"/>
        <v>0</v>
      </c>
      <c r="I376" s="433">
        <f t="shared" si="473"/>
        <v>0</v>
      </c>
      <c r="J376" s="433">
        <f t="shared" si="473"/>
        <v>0</v>
      </c>
      <c r="K376" s="433">
        <f t="shared" si="473"/>
        <v>0</v>
      </c>
      <c r="X376" s="126" t="s">
        <v>231</v>
      </c>
      <c r="AR376" s="308"/>
      <c r="AS376" s="308"/>
      <c r="AT376" s="308"/>
      <c r="AU376" s="308"/>
      <c r="AV376" s="308"/>
      <c r="AW376" s="308"/>
    </row>
    <row r="377" spans="1:49" ht="12" customHeight="1">
      <c r="A377" s="60"/>
      <c r="B377" s="8">
        <v>56</v>
      </c>
      <c r="C377" s="366">
        <v>24.135999999999999</v>
      </c>
      <c r="D377" s="433">
        <f t="shared" si="473"/>
        <v>0</v>
      </c>
      <c r="E377" s="433">
        <f t="shared" si="473"/>
        <v>0</v>
      </c>
      <c r="F377" s="433">
        <f t="shared" si="473"/>
        <v>0</v>
      </c>
      <c r="G377" s="433">
        <f t="shared" si="473"/>
        <v>0</v>
      </c>
      <c r="H377" s="433">
        <f t="shared" si="473"/>
        <v>0</v>
      </c>
      <c r="I377" s="433">
        <f t="shared" si="473"/>
        <v>0</v>
      </c>
      <c r="J377" s="433">
        <f t="shared" si="473"/>
        <v>0</v>
      </c>
      <c r="K377" s="433">
        <f t="shared" si="473"/>
        <v>0</v>
      </c>
      <c r="X377" s="126" t="s">
        <v>231</v>
      </c>
      <c r="AR377" s="308"/>
      <c r="AS377" s="308"/>
      <c r="AT377" s="308"/>
      <c r="AU377" s="308"/>
      <c r="AV377" s="308"/>
      <c r="AW377" s="308"/>
    </row>
    <row r="378" spans="1:49" ht="12" customHeight="1">
      <c r="A378" s="60"/>
      <c r="B378" s="8">
        <v>57</v>
      </c>
      <c r="C378" s="366">
        <v>23.527999999999999</v>
      </c>
      <c r="D378" s="433">
        <f t="shared" si="473"/>
        <v>0</v>
      </c>
      <c r="E378" s="433">
        <f t="shared" si="473"/>
        <v>0</v>
      </c>
      <c r="F378" s="433">
        <f t="shared" si="473"/>
        <v>0</v>
      </c>
      <c r="G378" s="433">
        <f t="shared" si="473"/>
        <v>0</v>
      </c>
      <c r="H378" s="433">
        <f t="shared" si="473"/>
        <v>0</v>
      </c>
      <c r="I378" s="433">
        <f t="shared" si="473"/>
        <v>0</v>
      </c>
      <c r="J378" s="433">
        <f t="shared" ref="E378:K393" si="474">IF(J329&gt;0,(J$152*0+(J$152-J$48-J$49)*1)*MIN(J477-J427,J329)*J526,0)</f>
        <v>0</v>
      </c>
      <c r="K378" s="433">
        <f t="shared" si="474"/>
        <v>0</v>
      </c>
      <c r="X378" s="126" t="s">
        <v>231</v>
      </c>
      <c r="AR378" s="308"/>
      <c r="AS378" s="308"/>
      <c r="AT378" s="308"/>
      <c r="AU378" s="308"/>
      <c r="AV378" s="308"/>
      <c r="AW378" s="308"/>
    </row>
    <row r="379" spans="1:49" ht="12" customHeight="1">
      <c r="A379" s="60"/>
      <c r="B379" s="8">
        <v>58</v>
      </c>
      <c r="C379" s="366">
        <v>22.919</v>
      </c>
      <c r="D379" s="433">
        <f t="shared" si="473"/>
        <v>0</v>
      </c>
      <c r="E379" s="433">
        <f t="shared" si="474"/>
        <v>0</v>
      </c>
      <c r="F379" s="433">
        <f t="shared" si="474"/>
        <v>0</v>
      </c>
      <c r="G379" s="433">
        <f t="shared" si="474"/>
        <v>0</v>
      </c>
      <c r="H379" s="433">
        <f t="shared" si="474"/>
        <v>0</v>
      </c>
      <c r="I379" s="433">
        <f t="shared" si="474"/>
        <v>0</v>
      </c>
      <c r="J379" s="433">
        <f t="shared" si="474"/>
        <v>0</v>
      </c>
      <c r="K379" s="433">
        <f t="shared" si="474"/>
        <v>0</v>
      </c>
      <c r="X379" s="126" t="s">
        <v>231</v>
      </c>
    </row>
    <row r="380" spans="1:49" ht="12" customHeight="1">
      <c r="A380" s="60"/>
      <c r="B380" s="8">
        <v>59</v>
      </c>
      <c r="C380" s="366">
        <v>22.308</v>
      </c>
      <c r="D380" s="433">
        <f t="shared" si="473"/>
        <v>0</v>
      </c>
      <c r="E380" s="433">
        <f t="shared" si="474"/>
        <v>0</v>
      </c>
      <c r="F380" s="433">
        <f t="shared" si="474"/>
        <v>0</v>
      </c>
      <c r="G380" s="433">
        <f t="shared" si="474"/>
        <v>0</v>
      </c>
      <c r="H380" s="433">
        <f t="shared" si="474"/>
        <v>0</v>
      </c>
      <c r="I380" s="433">
        <f t="shared" si="474"/>
        <v>0</v>
      </c>
      <c r="J380" s="433">
        <f t="shared" si="474"/>
        <v>0</v>
      </c>
      <c r="K380" s="433">
        <f t="shared" si="474"/>
        <v>0</v>
      </c>
      <c r="X380" s="126" t="s">
        <v>231</v>
      </c>
      <c r="AF380" s="176"/>
      <c r="AN380" s="176"/>
    </row>
    <row r="381" spans="1:49" ht="12" customHeight="1">
      <c r="A381" s="60"/>
      <c r="B381" s="8">
        <v>60</v>
      </c>
      <c r="C381" s="366">
        <v>21.693000000000001</v>
      </c>
      <c r="D381" s="433">
        <f t="shared" si="473"/>
        <v>0</v>
      </c>
      <c r="E381" s="433">
        <f t="shared" si="474"/>
        <v>0</v>
      </c>
      <c r="F381" s="433">
        <f t="shared" si="474"/>
        <v>0</v>
      </c>
      <c r="G381" s="433">
        <f t="shared" si="474"/>
        <v>0</v>
      </c>
      <c r="H381" s="433">
        <f t="shared" si="474"/>
        <v>0</v>
      </c>
      <c r="I381" s="433">
        <f t="shared" si="474"/>
        <v>0</v>
      </c>
      <c r="J381" s="433">
        <f t="shared" si="474"/>
        <v>0</v>
      </c>
      <c r="K381" s="433">
        <f t="shared" si="474"/>
        <v>0</v>
      </c>
      <c r="X381" s="126" t="s">
        <v>231</v>
      </c>
      <c r="AF381" s="176"/>
      <c r="AN381" s="176"/>
    </row>
    <row r="382" spans="1:49" ht="12" customHeight="1">
      <c r="A382" s="60"/>
      <c r="B382" s="8">
        <v>61</v>
      </c>
      <c r="C382" s="366">
        <v>21.074999999999999</v>
      </c>
      <c r="D382" s="433">
        <f t="shared" si="473"/>
        <v>0</v>
      </c>
      <c r="E382" s="433">
        <f t="shared" si="474"/>
        <v>0</v>
      </c>
      <c r="F382" s="433">
        <f t="shared" si="474"/>
        <v>0</v>
      </c>
      <c r="G382" s="433">
        <f t="shared" si="474"/>
        <v>0</v>
      </c>
      <c r="H382" s="433">
        <f t="shared" si="474"/>
        <v>0</v>
      </c>
      <c r="I382" s="433">
        <f t="shared" si="474"/>
        <v>0</v>
      </c>
      <c r="J382" s="433">
        <f t="shared" si="474"/>
        <v>0</v>
      </c>
      <c r="K382" s="433">
        <f t="shared" si="474"/>
        <v>0</v>
      </c>
      <c r="X382" s="126" t="s">
        <v>231</v>
      </c>
      <c r="AF382" s="176"/>
      <c r="AN382" s="176"/>
    </row>
    <row r="383" spans="1:49" ht="12" customHeight="1">
      <c r="A383" s="60"/>
      <c r="B383" s="8">
        <v>62</v>
      </c>
      <c r="C383" s="366">
        <v>20.452999999999999</v>
      </c>
      <c r="D383" s="433">
        <f t="shared" si="473"/>
        <v>0</v>
      </c>
      <c r="E383" s="433">
        <f t="shared" si="474"/>
        <v>0</v>
      </c>
      <c r="F383" s="433">
        <f t="shared" si="474"/>
        <v>0</v>
      </c>
      <c r="G383" s="433">
        <f t="shared" si="474"/>
        <v>0</v>
      </c>
      <c r="H383" s="433">
        <f t="shared" si="474"/>
        <v>0</v>
      </c>
      <c r="I383" s="433">
        <f t="shared" si="474"/>
        <v>0</v>
      </c>
      <c r="J383" s="433">
        <f t="shared" si="474"/>
        <v>0</v>
      </c>
      <c r="K383" s="433">
        <f t="shared" si="474"/>
        <v>0</v>
      </c>
      <c r="X383" s="126" t="s">
        <v>231</v>
      </c>
      <c r="AF383" s="176"/>
      <c r="AN383" s="176"/>
    </row>
    <row r="384" spans="1:49">
      <c r="A384" s="60"/>
      <c r="B384" s="8">
        <v>63</v>
      </c>
      <c r="C384" s="366">
        <v>19.827000000000002</v>
      </c>
      <c r="D384" s="433">
        <f t="shared" si="473"/>
        <v>0</v>
      </c>
      <c r="E384" s="433">
        <f t="shared" si="474"/>
        <v>0</v>
      </c>
      <c r="F384" s="433">
        <f t="shared" si="474"/>
        <v>0</v>
      </c>
      <c r="G384" s="433">
        <f t="shared" si="474"/>
        <v>0</v>
      </c>
      <c r="H384" s="433">
        <f t="shared" si="474"/>
        <v>0</v>
      </c>
      <c r="I384" s="433">
        <f t="shared" si="474"/>
        <v>0</v>
      </c>
      <c r="J384" s="433">
        <f t="shared" si="474"/>
        <v>0</v>
      </c>
      <c r="K384" s="433">
        <f t="shared" si="474"/>
        <v>0</v>
      </c>
      <c r="X384" s="126" t="s">
        <v>231</v>
      </c>
      <c r="AF384" s="176"/>
      <c r="AN384" s="176"/>
    </row>
    <row r="385" spans="1:40">
      <c r="A385" s="60"/>
      <c r="B385" s="8">
        <v>64</v>
      </c>
      <c r="C385" s="366">
        <v>19.196999999999999</v>
      </c>
      <c r="D385" s="433">
        <f t="shared" si="473"/>
        <v>0</v>
      </c>
      <c r="E385" s="433">
        <f t="shared" si="474"/>
        <v>0</v>
      </c>
      <c r="F385" s="433">
        <f t="shared" si="474"/>
        <v>0</v>
      </c>
      <c r="G385" s="433">
        <f t="shared" si="474"/>
        <v>0</v>
      </c>
      <c r="H385" s="433">
        <f t="shared" si="474"/>
        <v>0</v>
      </c>
      <c r="I385" s="433">
        <f t="shared" si="474"/>
        <v>0</v>
      </c>
      <c r="J385" s="433">
        <f t="shared" si="474"/>
        <v>0</v>
      </c>
      <c r="K385" s="433">
        <f t="shared" si="474"/>
        <v>0</v>
      </c>
      <c r="X385" s="126" t="s">
        <v>231</v>
      </c>
      <c r="AF385" s="176"/>
      <c r="AN385" s="176"/>
    </row>
    <row r="386" spans="1:40">
      <c r="A386" s="60"/>
      <c r="B386" s="8">
        <v>65</v>
      </c>
      <c r="C386" s="366">
        <v>18.565000000000001</v>
      </c>
      <c r="D386" s="433">
        <f t="shared" si="473"/>
        <v>0</v>
      </c>
      <c r="E386" s="433">
        <f t="shared" si="474"/>
        <v>0</v>
      </c>
      <c r="F386" s="433">
        <f t="shared" si="474"/>
        <v>0</v>
      </c>
      <c r="G386" s="433">
        <f t="shared" si="474"/>
        <v>0</v>
      </c>
      <c r="H386" s="433">
        <f t="shared" si="474"/>
        <v>0</v>
      </c>
      <c r="I386" s="433">
        <f t="shared" si="474"/>
        <v>0</v>
      </c>
      <c r="J386" s="433">
        <f t="shared" si="474"/>
        <v>0</v>
      </c>
      <c r="K386" s="433">
        <f t="shared" si="474"/>
        <v>0</v>
      </c>
      <c r="X386" s="126" t="s">
        <v>231</v>
      </c>
      <c r="AF386" s="176"/>
    </row>
    <row r="387" spans="1:40">
      <c r="A387" s="60"/>
      <c r="B387" s="8">
        <v>66</v>
      </c>
      <c r="C387" s="366">
        <v>17.931000000000001</v>
      </c>
      <c r="D387" s="433">
        <f t="shared" si="473"/>
        <v>0</v>
      </c>
      <c r="E387" s="433">
        <f t="shared" si="474"/>
        <v>0</v>
      </c>
      <c r="F387" s="433">
        <f t="shared" si="474"/>
        <v>0</v>
      </c>
      <c r="G387" s="433">
        <f t="shared" si="474"/>
        <v>0</v>
      </c>
      <c r="H387" s="433">
        <f t="shared" si="474"/>
        <v>0</v>
      </c>
      <c r="I387" s="433">
        <f t="shared" si="474"/>
        <v>0</v>
      </c>
      <c r="J387" s="433">
        <f t="shared" si="474"/>
        <v>0</v>
      </c>
      <c r="K387" s="433">
        <f t="shared" si="474"/>
        <v>0</v>
      </c>
      <c r="X387" s="126" t="s">
        <v>231</v>
      </c>
      <c r="AF387" s="176"/>
    </row>
    <row r="388" spans="1:40">
      <c r="A388" s="60"/>
      <c r="B388" s="8">
        <v>67</v>
      </c>
      <c r="C388" s="366">
        <v>17.297000000000001</v>
      </c>
      <c r="D388" s="433">
        <f t="shared" si="473"/>
        <v>0</v>
      </c>
      <c r="E388" s="433">
        <f t="shared" si="474"/>
        <v>0</v>
      </c>
      <c r="F388" s="433">
        <f t="shared" si="474"/>
        <v>0</v>
      </c>
      <c r="G388" s="433">
        <f t="shared" si="474"/>
        <v>0</v>
      </c>
      <c r="H388" s="433">
        <f t="shared" si="474"/>
        <v>0</v>
      </c>
      <c r="I388" s="433">
        <f t="shared" si="474"/>
        <v>0</v>
      </c>
      <c r="J388" s="433">
        <f t="shared" si="474"/>
        <v>0</v>
      </c>
      <c r="K388" s="433">
        <f t="shared" si="474"/>
        <v>0</v>
      </c>
      <c r="X388" s="126" t="s">
        <v>231</v>
      </c>
      <c r="AF388" s="176"/>
    </row>
    <row r="389" spans="1:40">
      <c r="A389" s="60"/>
      <c r="B389" s="8">
        <v>68</v>
      </c>
      <c r="C389" s="366">
        <v>16.664999999999999</v>
      </c>
      <c r="D389" s="433">
        <f t="shared" si="473"/>
        <v>0</v>
      </c>
      <c r="E389" s="433">
        <f t="shared" si="474"/>
        <v>0</v>
      </c>
      <c r="F389" s="433">
        <f t="shared" si="474"/>
        <v>0</v>
      </c>
      <c r="G389" s="433">
        <f t="shared" si="474"/>
        <v>0</v>
      </c>
      <c r="H389" s="433">
        <f t="shared" si="474"/>
        <v>0</v>
      </c>
      <c r="I389" s="433">
        <f t="shared" si="474"/>
        <v>0</v>
      </c>
      <c r="J389" s="433">
        <f t="shared" si="474"/>
        <v>0</v>
      </c>
      <c r="K389" s="433">
        <f t="shared" si="474"/>
        <v>0</v>
      </c>
      <c r="X389" s="126" t="s">
        <v>231</v>
      </c>
      <c r="AF389" s="176"/>
    </row>
    <row r="390" spans="1:40">
      <c r="A390" s="60"/>
      <c r="B390" s="8">
        <v>69</v>
      </c>
      <c r="C390" s="366">
        <v>16.033000000000001</v>
      </c>
      <c r="D390" s="433">
        <f t="shared" si="473"/>
        <v>0</v>
      </c>
      <c r="E390" s="433">
        <f t="shared" si="474"/>
        <v>0</v>
      </c>
      <c r="F390" s="433">
        <f t="shared" si="474"/>
        <v>0</v>
      </c>
      <c r="G390" s="433">
        <f t="shared" si="474"/>
        <v>0</v>
      </c>
      <c r="H390" s="433">
        <f t="shared" si="474"/>
        <v>0</v>
      </c>
      <c r="I390" s="433">
        <f t="shared" si="474"/>
        <v>0</v>
      </c>
      <c r="J390" s="433">
        <f t="shared" si="474"/>
        <v>0</v>
      </c>
      <c r="K390" s="433">
        <f t="shared" si="474"/>
        <v>0</v>
      </c>
      <c r="X390" s="126" t="s">
        <v>231</v>
      </c>
      <c r="AF390" s="176"/>
    </row>
    <row r="391" spans="1:40">
      <c r="A391" s="60"/>
      <c r="B391" s="8">
        <v>70</v>
      </c>
      <c r="C391" s="366">
        <v>15.401</v>
      </c>
      <c r="D391" s="433">
        <f t="shared" si="473"/>
        <v>0</v>
      </c>
      <c r="E391" s="433">
        <f t="shared" si="474"/>
        <v>0</v>
      </c>
      <c r="F391" s="433">
        <f t="shared" si="474"/>
        <v>0</v>
      </c>
      <c r="G391" s="433">
        <f t="shared" si="474"/>
        <v>0</v>
      </c>
      <c r="H391" s="433">
        <f t="shared" si="474"/>
        <v>0</v>
      </c>
      <c r="I391" s="433">
        <f t="shared" si="474"/>
        <v>0</v>
      </c>
      <c r="J391" s="433">
        <f t="shared" si="474"/>
        <v>0</v>
      </c>
      <c r="K391" s="433">
        <f t="shared" si="474"/>
        <v>0</v>
      </c>
      <c r="X391" s="126" t="s">
        <v>231</v>
      </c>
      <c r="AF391" s="176"/>
    </row>
    <row r="392" spans="1:40">
      <c r="A392" s="60"/>
      <c r="B392" s="8">
        <v>71</v>
      </c>
      <c r="C392" s="366">
        <v>14.768000000000001</v>
      </c>
      <c r="D392" s="433">
        <f t="shared" si="473"/>
        <v>0</v>
      </c>
      <c r="E392" s="433">
        <f t="shared" si="474"/>
        <v>0</v>
      </c>
      <c r="F392" s="433">
        <f t="shared" si="474"/>
        <v>0</v>
      </c>
      <c r="G392" s="433">
        <f t="shared" si="474"/>
        <v>0</v>
      </c>
      <c r="H392" s="433">
        <f t="shared" si="474"/>
        <v>0</v>
      </c>
      <c r="I392" s="433">
        <f t="shared" si="474"/>
        <v>0</v>
      </c>
      <c r="J392" s="433">
        <f t="shared" si="474"/>
        <v>0</v>
      </c>
      <c r="K392" s="433">
        <f t="shared" si="474"/>
        <v>0</v>
      </c>
      <c r="X392" s="126" t="s">
        <v>231</v>
      </c>
      <c r="AF392" s="176"/>
    </row>
    <row r="393" spans="1:40">
      <c r="A393" s="60"/>
      <c r="B393" s="8">
        <v>72</v>
      </c>
      <c r="C393" s="366">
        <v>14.132</v>
      </c>
      <c r="D393" s="433">
        <f t="shared" si="473"/>
        <v>0</v>
      </c>
      <c r="E393" s="433">
        <f t="shared" si="474"/>
        <v>0</v>
      </c>
      <c r="F393" s="433">
        <f t="shared" si="474"/>
        <v>0</v>
      </c>
      <c r="G393" s="433">
        <f t="shared" si="474"/>
        <v>0</v>
      </c>
      <c r="H393" s="433">
        <f t="shared" si="474"/>
        <v>0</v>
      </c>
      <c r="I393" s="433">
        <f t="shared" si="474"/>
        <v>0</v>
      </c>
      <c r="J393" s="433">
        <f t="shared" si="474"/>
        <v>0</v>
      </c>
      <c r="K393" s="433">
        <f t="shared" si="474"/>
        <v>0</v>
      </c>
      <c r="X393" s="126" t="s">
        <v>231</v>
      </c>
      <c r="AF393" s="176"/>
    </row>
    <row r="394" spans="1:40">
      <c r="A394" s="60"/>
      <c r="B394" s="8">
        <v>73</v>
      </c>
      <c r="C394" s="366">
        <v>13.494999999999999</v>
      </c>
      <c r="D394" s="433">
        <f t="shared" si="473"/>
        <v>0</v>
      </c>
      <c r="E394" s="433">
        <f t="shared" ref="E394:K395" si="475">IF(E345&gt;0,(E$152*0+(E$152-E$48-E$49)*1)*MIN(E493-E443,E345)*E542,0)</f>
        <v>0</v>
      </c>
      <c r="F394" s="433">
        <f t="shared" si="475"/>
        <v>0</v>
      </c>
      <c r="G394" s="433">
        <f t="shared" si="475"/>
        <v>0</v>
      </c>
      <c r="H394" s="433">
        <f t="shared" si="475"/>
        <v>0</v>
      </c>
      <c r="I394" s="433">
        <f t="shared" si="475"/>
        <v>0</v>
      </c>
      <c r="J394" s="433">
        <f t="shared" si="475"/>
        <v>0</v>
      </c>
      <c r="K394" s="433">
        <f t="shared" si="475"/>
        <v>0</v>
      </c>
      <c r="X394" s="126" t="s">
        <v>231</v>
      </c>
      <c r="AF394" s="176"/>
    </row>
    <row r="395" spans="1:40">
      <c r="A395" s="60"/>
      <c r="B395" s="8">
        <v>74</v>
      </c>
      <c r="C395" s="366">
        <v>12.86</v>
      </c>
      <c r="D395" s="433">
        <f t="shared" si="473"/>
        <v>0</v>
      </c>
      <c r="E395" s="433">
        <f t="shared" si="475"/>
        <v>0</v>
      </c>
      <c r="F395" s="433">
        <f t="shared" si="475"/>
        <v>0</v>
      </c>
      <c r="G395" s="433">
        <f t="shared" si="475"/>
        <v>0</v>
      </c>
      <c r="H395" s="433">
        <f t="shared" si="475"/>
        <v>0</v>
      </c>
      <c r="I395" s="433">
        <f t="shared" si="475"/>
        <v>0</v>
      </c>
      <c r="J395" s="433">
        <f t="shared" si="475"/>
        <v>0</v>
      </c>
      <c r="K395" s="433">
        <f t="shared" si="475"/>
        <v>0</v>
      </c>
      <c r="X395" s="126" t="s">
        <v>231</v>
      </c>
      <c r="AF395" s="176"/>
    </row>
    <row r="396" spans="1:40">
      <c r="A396" s="60"/>
      <c r="B396" s="8">
        <v>75</v>
      </c>
      <c r="C396" s="366">
        <v>12.231999999999999</v>
      </c>
      <c r="D396" s="8" t="s">
        <v>47</v>
      </c>
      <c r="E396" s="8" t="s">
        <v>47</v>
      </c>
      <c r="F396" s="8" t="s">
        <v>47</v>
      </c>
      <c r="G396" s="8" t="s">
        <v>47</v>
      </c>
      <c r="H396" s="8" t="s">
        <v>47</v>
      </c>
      <c r="I396" s="8" t="s">
        <v>47</v>
      </c>
      <c r="J396" s="8" t="s">
        <v>47</v>
      </c>
      <c r="K396" s="8" t="s">
        <v>47</v>
      </c>
      <c r="AF396" s="176"/>
    </row>
    <row r="397" spans="1:40">
      <c r="A397" s="60"/>
      <c r="B397" s="8">
        <v>76</v>
      </c>
      <c r="C397" s="366">
        <v>11.613</v>
      </c>
      <c r="D397" s="106">
        <v>0</v>
      </c>
      <c r="E397" s="106">
        <v>0</v>
      </c>
      <c r="F397" s="106">
        <v>0</v>
      </c>
      <c r="G397" s="106">
        <v>0</v>
      </c>
      <c r="H397" s="106">
        <v>0</v>
      </c>
      <c r="I397" s="106">
        <v>0</v>
      </c>
      <c r="J397" s="106">
        <v>0</v>
      </c>
      <c r="K397" s="106">
        <v>0</v>
      </c>
      <c r="AF397" s="176"/>
    </row>
    <row r="398" spans="1:40">
      <c r="A398" s="60"/>
      <c r="B398" s="8">
        <v>77</v>
      </c>
      <c r="C398" s="366">
        <v>11.006</v>
      </c>
      <c r="D398" s="107">
        <f t="shared" ref="D398:E413" si="476">D447+0.01</f>
        <v>7033.01</v>
      </c>
      <c r="E398" s="107">
        <f t="shared" si="476"/>
        <v>7033.01</v>
      </c>
      <c r="F398" s="107">
        <f t="shared" ref="F398:G398" si="477">F447+0.01</f>
        <v>7033.01</v>
      </c>
      <c r="G398" s="107">
        <f t="shared" si="477"/>
        <v>7033.01</v>
      </c>
      <c r="H398" s="107">
        <f t="shared" ref="H398:K417" si="478">H447+0.01</f>
        <v>7033.01</v>
      </c>
      <c r="I398" s="107">
        <f t="shared" ref="I398" si="479">I447+0.01</f>
        <v>7033.01</v>
      </c>
      <c r="J398" s="107">
        <f t="shared" si="478"/>
        <v>7033.01</v>
      </c>
      <c r="K398" s="107">
        <f t="shared" si="478"/>
        <v>7033.01</v>
      </c>
      <c r="AF398" s="176"/>
    </row>
    <row r="399" spans="1:40">
      <c r="A399" s="60"/>
      <c r="B399" s="8">
        <v>78</v>
      </c>
      <c r="C399" s="366">
        <v>10.413</v>
      </c>
      <c r="D399" s="107">
        <f t="shared" si="476"/>
        <v>13000.01</v>
      </c>
      <c r="E399" s="107">
        <f t="shared" si="476"/>
        <v>13000.01</v>
      </c>
      <c r="F399" s="107">
        <f t="shared" ref="F399:G399" si="480">F448+0.01</f>
        <v>13000.01</v>
      </c>
      <c r="G399" s="107">
        <f t="shared" si="480"/>
        <v>13000.01</v>
      </c>
      <c r="H399" s="107">
        <f t="shared" si="478"/>
        <v>13000.01</v>
      </c>
      <c r="I399" s="107">
        <f t="shared" ref="I399" si="481">I448+0.01</f>
        <v>13000.01</v>
      </c>
      <c r="J399" s="107">
        <f t="shared" si="478"/>
        <v>13000.01</v>
      </c>
      <c r="K399" s="107">
        <f t="shared" si="478"/>
        <v>13000.01</v>
      </c>
      <c r="AF399" s="176"/>
    </row>
    <row r="400" spans="1:40">
      <c r="A400" s="60"/>
      <c r="B400" s="8">
        <v>79</v>
      </c>
      <c r="C400" s="366">
        <v>9.8369999999999997</v>
      </c>
      <c r="D400" s="107">
        <f t="shared" si="476"/>
        <v>14000.01</v>
      </c>
      <c r="E400" s="107">
        <f t="shared" si="476"/>
        <v>14000.01</v>
      </c>
      <c r="F400" s="107">
        <f t="shared" ref="F400:G400" si="482">F449+0.01</f>
        <v>14000.01</v>
      </c>
      <c r="G400" s="107">
        <f t="shared" si="482"/>
        <v>14000.01</v>
      </c>
      <c r="H400" s="107">
        <f t="shared" si="478"/>
        <v>14000.01</v>
      </c>
      <c r="I400" s="107">
        <f t="shared" ref="I400" si="483">I449+0.01</f>
        <v>14000.01</v>
      </c>
      <c r="J400" s="107">
        <f t="shared" si="478"/>
        <v>14000.01</v>
      </c>
      <c r="K400" s="107">
        <f t="shared" si="478"/>
        <v>14000.01</v>
      </c>
      <c r="AF400" s="176"/>
    </row>
    <row r="401" spans="1:32">
      <c r="A401" s="60"/>
      <c r="B401" s="8">
        <v>80</v>
      </c>
      <c r="C401" s="366">
        <v>9.2810000000000006</v>
      </c>
      <c r="D401" s="107">
        <f t="shared" si="476"/>
        <v>15000.01</v>
      </c>
      <c r="E401" s="107">
        <f t="shared" si="476"/>
        <v>15000.01</v>
      </c>
      <c r="F401" s="107">
        <f t="shared" ref="F401:G401" si="484">F450+0.01</f>
        <v>15000.01</v>
      </c>
      <c r="G401" s="107">
        <f t="shared" si="484"/>
        <v>15000.01</v>
      </c>
      <c r="H401" s="107">
        <f t="shared" si="478"/>
        <v>15000.01</v>
      </c>
      <c r="I401" s="107">
        <f t="shared" ref="I401" si="485">I450+0.01</f>
        <v>15000.01</v>
      </c>
      <c r="J401" s="107">
        <f t="shared" si="478"/>
        <v>15000.01</v>
      </c>
      <c r="K401" s="107">
        <f t="shared" si="478"/>
        <v>15000.01</v>
      </c>
      <c r="AF401" s="176"/>
    </row>
    <row r="402" spans="1:32">
      <c r="A402" s="60"/>
      <c r="B402" s="8">
        <v>81</v>
      </c>
      <c r="C402" s="366">
        <v>8.7479999999999993</v>
      </c>
      <c r="D402" s="107">
        <f t="shared" si="476"/>
        <v>16000.01</v>
      </c>
      <c r="E402" s="107">
        <f t="shared" si="476"/>
        <v>16000.01</v>
      </c>
      <c r="F402" s="107">
        <f t="shared" ref="F402:G402" si="486">F451+0.01</f>
        <v>16000.01</v>
      </c>
      <c r="G402" s="107">
        <f t="shared" si="486"/>
        <v>16000.01</v>
      </c>
      <c r="H402" s="107">
        <f t="shared" si="478"/>
        <v>16000.01</v>
      </c>
      <c r="I402" s="107">
        <f t="shared" ref="I402" si="487">I451+0.01</f>
        <v>16000.01</v>
      </c>
      <c r="J402" s="107">
        <f t="shared" si="478"/>
        <v>16000.01</v>
      </c>
      <c r="K402" s="107">
        <f t="shared" si="478"/>
        <v>16000.01</v>
      </c>
      <c r="AF402" s="176"/>
    </row>
    <row r="403" spans="1:32">
      <c r="A403" s="60"/>
      <c r="B403" s="8">
        <v>82</v>
      </c>
      <c r="C403" s="366">
        <v>8.24</v>
      </c>
      <c r="D403" s="107">
        <f t="shared" si="476"/>
        <v>17000.009999999998</v>
      </c>
      <c r="E403" s="107">
        <f t="shared" si="476"/>
        <v>17000.009999999998</v>
      </c>
      <c r="F403" s="107">
        <f t="shared" ref="F403:G403" si="488">F452+0.01</f>
        <v>17000.009999999998</v>
      </c>
      <c r="G403" s="107">
        <f t="shared" si="488"/>
        <v>17000.009999999998</v>
      </c>
      <c r="H403" s="107">
        <f t="shared" si="478"/>
        <v>17000.009999999998</v>
      </c>
      <c r="I403" s="107">
        <f t="shared" ref="I403" si="489">I452+0.01</f>
        <v>17000.009999999998</v>
      </c>
      <c r="J403" s="107">
        <f t="shared" si="478"/>
        <v>17000.009999999998</v>
      </c>
      <c r="K403" s="107">
        <f t="shared" si="478"/>
        <v>17000.009999999998</v>
      </c>
      <c r="AF403" s="176"/>
    </row>
    <row r="404" spans="1:32">
      <c r="A404" s="60"/>
      <c r="B404" s="8">
        <v>83</v>
      </c>
      <c r="C404" s="366">
        <v>7.76</v>
      </c>
      <c r="D404" s="107">
        <f t="shared" si="476"/>
        <v>18000.009999999998</v>
      </c>
      <c r="E404" s="107">
        <f t="shared" si="476"/>
        <v>18000.009999999998</v>
      </c>
      <c r="F404" s="107">
        <f t="shared" ref="F404:G404" si="490">F453+0.01</f>
        <v>18000.009999999998</v>
      </c>
      <c r="G404" s="107">
        <f t="shared" si="490"/>
        <v>18000.009999999998</v>
      </c>
      <c r="H404" s="107">
        <f t="shared" si="478"/>
        <v>18000.009999999998</v>
      </c>
      <c r="I404" s="107">
        <f t="shared" ref="I404" si="491">I453+0.01</f>
        <v>18000.009999999998</v>
      </c>
      <c r="J404" s="107">
        <f t="shared" si="478"/>
        <v>18000.009999999998</v>
      </c>
      <c r="K404" s="107">
        <f t="shared" si="478"/>
        <v>18000.009999999998</v>
      </c>
      <c r="AF404" s="176"/>
    </row>
    <row r="405" spans="1:32">
      <c r="A405" s="60"/>
      <c r="B405" s="8">
        <v>84</v>
      </c>
      <c r="C405" s="366">
        <v>7.3120000000000003</v>
      </c>
      <c r="D405" s="107">
        <f t="shared" si="476"/>
        <v>19000.009999999998</v>
      </c>
      <c r="E405" s="107">
        <f t="shared" si="476"/>
        <v>19000.009999999998</v>
      </c>
      <c r="F405" s="107">
        <f t="shared" ref="F405:G405" si="492">F454+0.01</f>
        <v>19000.009999999998</v>
      </c>
      <c r="G405" s="107">
        <f t="shared" si="492"/>
        <v>19000.009999999998</v>
      </c>
      <c r="H405" s="107">
        <f t="shared" si="478"/>
        <v>19000.009999999998</v>
      </c>
      <c r="I405" s="107">
        <f t="shared" ref="I405" si="493">I454+0.01</f>
        <v>19000.009999999998</v>
      </c>
      <c r="J405" s="107">
        <f t="shared" si="478"/>
        <v>19000.009999999998</v>
      </c>
      <c r="K405" s="107">
        <f t="shared" si="478"/>
        <v>19000.009999999998</v>
      </c>
      <c r="AF405" s="176"/>
    </row>
    <row r="406" spans="1:32">
      <c r="A406" s="60"/>
      <c r="B406" s="8">
        <v>85</v>
      </c>
      <c r="C406" s="366">
        <v>6.8949999999999996</v>
      </c>
      <c r="D406" s="107">
        <f t="shared" si="476"/>
        <v>20000.009999999998</v>
      </c>
      <c r="E406" s="107">
        <f t="shared" si="476"/>
        <v>20000.009999999998</v>
      </c>
      <c r="F406" s="107">
        <f t="shared" ref="F406:G406" si="494">F455+0.01</f>
        <v>20000.009999999998</v>
      </c>
      <c r="G406" s="107">
        <f t="shared" si="494"/>
        <v>20000.009999999998</v>
      </c>
      <c r="H406" s="107">
        <f t="shared" si="478"/>
        <v>20000.009999999998</v>
      </c>
      <c r="I406" s="107">
        <f t="shared" ref="I406" si="495">I455+0.01</f>
        <v>20000.009999999998</v>
      </c>
      <c r="J406" s="107">
        <f t="shared" si="478"/>
        <v>20000.009999999998</v>
      </c>
      <c r="K406" s="107">
        <f t="shared" si="478"/>
        <v>20000.009999999998</v>
      </c>
      <c r="AF406" s="176"/>
    </row>
    <row r="407" spans="1:32">
      <c r="A407" s="60"/>
      <c r="B407" s="8">
        <v>86</v>
      </c>
      <c r="C407" s="366">
        <v>6.5060000000000002</v>
      </c>
      <c r="D407" s="107">
        <f t="shared" si="476"/>
        <v>21000.01</v>
      </c>
      <c r="E407" s="107">
        <f t="shared" si="476"/>
        <v>21000.01</v>
      </c>
      <c r="F407" s="107">
        <f t="shared" ref="F407:G407" si="496">F456+0.01</f>
        <v>21000.01</v>
      </c>
      <c r="G407" s="107">
        <f t="shared" si="496"/>
        <v>21000.01</v>
      </c>
      <c r="H407" s="107">
        <f t="shared" si="478"/>
        <v>21000.01</v>
      </c>
      <c r="I407" s="107">
        <f t="shared" ref="I407" si="497">I456+0.01</f>
        <v>21000.01</v>
      </c>
      <c r="J407" s="107">
        <f t="shared" si="478"/>
        <v>21000.01</v>
      </c>
      <c r="K407" s="107">
        <f t="shared" si="478"/>
        <v>21000.01</v>
      </c>
      <c r="AF407" s="176"/>
    </row>
    <row r="408" spans="1:32">
      <c r="A408" s="60"/>
      <c r="B408" s="8">
        <v>87</v>
      </c>
      <c r="C408" s="366">
        <v>6.1360000000000001</v>
      </c>
      <c r="D408" s="107">
        <f t="shared" si="476"/>
        <v>22000.01</v>
      </c>
      <c r="E408" s="107">
        <f t="shared" si="476"/>
        <v>22000.01</v>
      </c>
      <c r="F408" s="107">
        <f t="shared" ref="F408:G408" si="498">F457+0.01</f>
        <v>22000.01</v>
      </c>
      <c r="G408" s="107">
        <f t="shared" si="498"/>
        <v>22000.01</v>
      </c>
      <c r="H408" s="107">
        <f t="shared" si="478"/>
        <v>22000.01</v>
      </c>
      <c r="I408" s="107">
        <f t="shared" ref="I408" si="499">I457+0.01</f>
        <v>22000.01</v>
      </c>
      <c r="J408" s="107">
        <f t="shared" si="478"/>
        <v>22000.01</v>
      </c>
      <c r="K408" s="107">
        <f t="shared" si="478"/>
        <v>22000.01</v>
      </c>
      <c r="AF408" s="176"/>
    </row>
    <row r="409" spans="1:32">
      <c r="A409" s="60"/>
      <c r="B409" s="8">
        <v>88</v>
      </c>
      <c r="C409" s="366">
        <v>5.782</v>
      </c>
      <c r="D409" s="107">
        <f t="shared" si="476"/>
        <v>23000.01</v>
      </c>
      <c r="E409" s="107">
        <f t="shared" si="476"/>
        <v>23000.01</v>
      </c>
      <c r="F409" s="107">
        <f t="shared" ref="F409:G409" si="500">F458+0.01</f>
        <v>23000.01</v>
      </c>
      <c r="G409" s="107">
        <f t="shared" si="500"/>
        <v>23000.01</v>
      </c>
      <c r="H409" s="107">
        <f t="shared" si="478"/>
        <v>23000.01</v>
      </c>
      <c r="I409" s="107">
        <f t="shared" ref="I409" si="501">I458+0.01</f>
        <v>23000.01</v>
      </c>
      <c r="J409" s="107">
        <f t="shared" si="478"/>
        <v>23000.01</v>
      </c>
      <c r="K409" s="107">
        <f t="shared" si="478"/>
        <v>23000.01</v>
      </c>
      <c r="AF409" s="176"/>
    </row>
    <row r="410" spans="1:32">
      <c r="A410" s="60"/>
      <c r="B410" s="8">
        <v>89</v>
      </c>
      <c r="C410" s="366">
        <v>5.444</v>
      </c>
      <c r="D410" s="107">
        <f t="shared" si="476"/>
        <v>24000.01</v>
      </c>
      <c r="E410" s="107">
        <f t="shared" si="476"/>
        <v>24000.01</v>
      </c>
      <c r="F410" s="107">
        <f t="shared" ref="F410:G410" si="502">F459+0.01</f>
        <v>24000.01</v>
      </c>
      <c r="G410" s="107">
        <f t="shared" si="502"/>
        <v>24000.01</v>
      </c>
      <c r="H410" s="107">
        <f t="shared" si="478"/>
        <v>24000.01</v>
      </c>
      <c r="I410" s="107">
        <f t="shared" ref="I410" si="503">I459+0.01</f>
        <v>24000.01</v>
      </c>
      <c r="J410" s="107">
        <f t="shared" si="478"/>
        <v>24000.01</v>
      </c>
      <c r="K410" s="107">
        <f t="shared" si="478"/>
        <v>24000.01</v>
      </c>
      <c r="AF410" s="176"/>
    </row>
    <row r="411" spans="1:32">
      <c r="A411" s="60"/>
      <c r="B411" s="8">
        <v>90</v>
      </c>
      <c r="C411" s="366">
        <v>5.1189999999999998</v>
      </c>
      <c r="D411" s="107">
        <f t="shared" si="476"/>
        <v>25000.01</v>
      </c>
      <c r="E411" s="107">
        <f t="shared" si="476"/>
        <v>25000.01</v>
      </c>
      <c r="F411" s="107">
        <f t="shared" ref="F411:G411" si="504">F460+0.01</f>
        <v>25000.01</v>
      </c>
      <c r="G411" s="107">
        <f t="shared" si="504"/>
        <v>25000.01</v>
      </c>
      <c r="H411" s="107">
        <f t="shared" si="478"/>
        <v>25000.01</v>
      </c>
      <c r="I411" s="107">
        <f t="shared" ref="I411" si="505">I460+0.01</f>
        <v>25000.01</v>
      </c>
      <c r="J411" s="107">
        <f t="shared" si="478"/>
        <v>25000.01</v>
      </c>
      <c r="K411" s="107">
        <f t="shared" si="478"/>
        <v>25000.01</v>
      </c>
      <c r="AF411" s="176"/>
    </row>
    <row r="412" spans="1:32">
      <c r="A412" s="60"/>
      <c r="B412" s="8">
        <v>91</v>
      </c>
      <c r="C412" s="366">
        <v>4.806</v>
      </c>
      <c r="D412" s="107">
        <f t="shared" si="476"/>
        <v>26000.01</v>
      </c>
      <c r="E412" s="107">
        <f t="shared" si="476"/>
        <v>26000.01</v>
      </c>
      <c r="F412" s="107">
        <f t="shared" ref="F412:G412" si="506">F461+0.01</f>
        <v>26000.01</v>
      </c>
      <c r="G412" s="107">
        <f t="shared" si="506"/>
        <v>26000.01</v>
      </c>
      <c r="H412" s="107">
        <f t="shared" si="478"/>
        <v>26000.01</v>
      </c>
      <c r="I412" s="107">
        <f t="shared" ref="I412" si="507">I461+0.01</f>
        <v>26000.01</v>
      </c>
      <c r="J412" s="107">
        <f t="shared" si="478"/>
        <v>26000.01</v>
      </c>
      <c r="K412" s="107">
        <f t="shared" si="478"/>
        <v>26000.01</v>
      </c>
      <c r="AF412" s="176"/>
    </row>
    <row r="413" spans="1:32">
      <c r="A413" s="60"/>
      <c r="B413" s="8">
        <v>92</v>
      </c>
      <c r="C413" s="366">
        <v>4.5069999999999997</v>
      </c>
      <c r="D413" s="107">
        <f t="shared" si="476"/>
        <v>27000.01</v>
      </c>
      <c r="E413" s="107">
        <f t="shared" si="476"/>
        <v>27000.01</v>
      </c>
      <c r="F413" s="107">
        <f t="shared" ref="F413:G413" si="508">F462+0.01</f>
        <v>27000.01</v>
      </c>
      <c r="G413" s="107">
        <f t="shared" si="508"/>
        <v>27000.01</v>
      </c>
      <c r="H413" s="107">
        <f t="shared" si="478"/>
        <v>27000.01</v>
      </c>
      <c r="I413" s="107">
        <f t="shared" ref="I413" si="509">I462+0.01</f>
        <v>27000.01</v>
      </c>
      <c r="J413" s="107">
        <f t="shared" si="478"/>
        <v>27000.01</v>
      </c>
      <c r="K413" s="107">
        <f t="shared" si="478"/>
        <v>27000.01</v>
      </c>
      <c r="AF413" s="176"/>
    </row>
    <row r="414" spans="1:32">
      <c r="A414" s="60"/>
      <c r="B414" s="8">
        <v>93</v>
      </c>
      <c r="C414" s="366">
        <v>4.22</v>
      </c>
      <c r="D414" s="107">
        <f t="shared" ref="D414:E429" si="510">D463+0.01</f>
        <v>28000.01</v>
      </c>
      <c r="E414" s="107">
        <f t="shared" si="510"/>
        <v>28000.01</v>
      </c>
      <c r="F414" s="107">
        <f t="shared" ref="F414:G414" si="511">F463+0.01</f>
        <v>28000.01</v>
      </c>
      <c r="G414" s="107">
        <f t="shared" si="511"/>
        <v>28000.01</v>
      </c>
      <c r="H414" s="107">
        <f t="shared" si="478"/>
        <v>28000.01</v>
      </c>
      <c r="I414" s="107">
        <f t="shared" ref="I414" si="512">I463+0.01</f>
        <v>28000.01</v>
      </c>
      <c r="J414" s="107">
        <f t="shared" si="478"/>
        <v>28000.01</v>
      </c>
      <c r="K414" s="107">
        <f t="shared" si="478"/>
        <v>28000.01</v>
      </c>
      <c r="AF414" s="176"/>
    </row>
    <row r="415" spans="1:32">
      <c r="A415" s="60"/>
      <c r="B415" s="8">
        <v>94</v>
      </c>
      <c r="C415" s="366">
        <v>3.944</v>
      </c>
      <c r="D415" s="107">
        <f t="shared" si="510"/>
        <v>29000.01</v>
      </c>
      <c r="E415" s="107">
        <f t="shared" si="510"/>
        <v>29000.01</v>
      </c>
      <c r="F415" s="107">
        <f t="shared" ref="F415:G415" si="513">F464+0.01</f>
        <v>29000.01</v>
      </c>
      <c r="G415" s="107">
        <f t="shared" si="513"/>
        <v>29000.01</v>
      </c>
      <c r="H415" s="107">
        <f t="shared" si="478"/>
        <v>29000.01</v>
      </c>
      <c r="I415" s="107">
        <f t="shared" ref="I415" si="514">I464+0.01</f>
        <v>29000.01</v>
      </c>
      <c r="J415" s="107">
        <f t="shared" si="478"/>
        <v>29000.01</v>
      </c>
      <c r="K415" s="107">
        <f t="shared" si="478"/>
        <v>29000.01</v>
      </c>
      <c r="AF415" s="176"/>
    </row>
    <row r="416" spans="1:32">
      <c r="A416" s="60"/>
      <c r="B416" s="8">
        <v>95</v>
      </c>
      <c r="C416" s="366">
        <v>3.6819999999999999</v>
      </c>
      <c r="D416" s="107">
        <f t="shared" si="510"/>
        <v>30000.01</v>
      </c>
      <c r="E416" s="107">
        <f t="shared" si="510"/>
        <v>30000.01</v>
      </c>
      <c r="F416" s="107">
        <f t="shared" ref="F416:G416" si="515">F465+0.01</f>
        <v>30000.01</v>
      </c>
      <c r="G416" s="107">
        <f t="shared" si="515"/>
        <v>30000.01</v>
      </c>
      <c r="H416" s="107">
        <f t="shared" si="478"/>
        <v>30000.01</v>
      </c>
      <c r="I416" s="107">
        <f t="shared" ref="I416" si="516">I465+0.01</f>
        <v>30000.01</v>
      </c>
      <c r="J416" s="107">
        <f t="shared" si="478"/>
        <v>30000.01</v>
      </c>
      <c r="K416" s="107">
        <f t="shared" si="478"/>
        <v>30000.01</v>
      </c>
      <c r="AF416" s="176"/>
    </row>
    <row r="417" spans="1:32" ht="12" customHeight="1">
      <c r="A417" s="60"/>
      <c r="B417" s="8">
        <v>96</v>
      </c>
      <c r="C417" s="366">
        <v>3.43</v>
      </c>
      <c r="D417" s="107">
        <f t="shared" si="510"/>
        <v>31000.01</v>
      </c>
      <c r="E417" s="107">
        <f t="shared" si="510"/>
        <v>31000.01</v>
      </c>
      <c r="F417" s="107">
        <f t="shared" ref="F417:G417" si="517">F466+0.01</f>
        <v>31000.01</v>
      </c>
      <c r="G417" s="107">
        <f t="shared" si="517"/>
        <v>31000.01</v>
      </c>
      <c r="H417" s="107">
        <f t="shared" si="478"/>
        <v>31000.01</v>
      </c>
      <c r="I417" s="107">
        <f t="shared" ref="I417" si="518">I466+0.01</f>
        <v>31000.01</v>
      </c>
      <c r="J417" s="107">
        <f t="shared" si="478"/>
        <v>31000.01</v>
      </c>
      <c r="K417" s="107">
        <f t="shared" si="478"/>
        <v>31000.01</v>
      </c>
      <c r="AF417" s="176"/>
    </row>
    <row r="418" spans="1:32">
      <c r="A418" s="60"/>
      <c r="B418" s="8">
        <v>97</v>
      </c>
      <c r="C418" s="366">
        <v>3.19</v>
      </c>
      <c r="D418" s="107">
        <f t="shared" si="510"/>
        <v>32000.01</v>
      </c>
      <c r="E418" s="107">
        <f t="shared" si="510"/>
        <v>32000.01</v>
      </c>
      <c r="F418" s="107">
        <f t="shared" ref="F418:G418" si="519">F467+0.01</f>
        <v>32000.01</v>
      </c>
      <c r="G418" s="107">
        <f t="shared" si="519"/>
        <v>32000.01</v>
      </c>
      <c r="H418" s="107">
        <f t="shared" ref="H418:K437" si="520">H467+0.01</f>
        <v>32000.01</v>
      </c>
      <c r="I418" s="107">
        <f t="shared" ref="I418" si="521">I467+0.01</f>
        <v>32000.01</v>
      </c>
      <c r="J418" s="107">
        <f t="shared" si="520"/>
        <v>32000.01</v>
      </c>
      <c r="K418" s="107">
        <f t="shared" si="520"/>
        <v>32000.01</v>
      </c>
      <c r="AF418" s="176"/>
    </row>
    <row r="419" spans="1:32">
      <c r="A419" s="60"/>
      <c r="B419" s="8">
        <v>98</v>
      </c>
      <c r="C419" s="366">
        <v>2.9609999999999999</v>
      </c>
      <c r="D419" s="107">
        <f t="shared" si="510"/>
        <v>33000.01</v>
      </c>
      <c r="E419" s="107">
        <f t="shared" si="510"/>
        <v>33000.01</v>
      </c>
      <c r="F419" s="107">
        <f t="shared" ref="F419:G419" si="522">F468+0.01</f>
        <v>33000.01</v>
      </c>
      <c r="G419" s="107">
        <f t="shared" si="522"/>
        <v>33000.01</v>
      </c>
      <c r="H419" s="107">
        <f t="shared" si="520"/>
        <v>33000.01</v>
      </c>
      <c r="I419" s="107">
        <f t="shared" ref="I419" si="523">I468+0.01</f>
        <v>33000.01</v>
      </c>
      <c r="J419" s="107">
        <f t="shared" si="520"/>
        <v>33000.01</v>
      </c>
      <c r="K419" s="107">
        <f t="shared" si="520"/>
        <v>33000.01</v>
      </c>
      <c r="AF419" s="176"/>
    </row>
    <row r="420" spans="1:32">
      <c r="A420" s="60"/>
      <c r="B420" s="8">
        <v>99</v>
      </c>
      <c r="C420" s="366">
        <v>2.7429999999999999</v>
      </c>
      <c r="D420" s="107">
        <f t="shared" si="510"/>
        <v>34000.01</v>
      </c>
      <c r="E420" s="107">
        <f t="shared" si="510"/>
        <v>34000.01</v>
      </c>
      <c r="F420" s="107">
        <f t="shared" ref="F420:G420" si="524">F469+0.01</f>
        <v>34000.01</v>
      </c>
      <c r="G420" s="107">
        <f t="shared" si="524"/>
        <v>34000.01</v>
      </c>
      <c r="H420" s="107">
        <f t="shared" si="520"/>
        <v>34000.01</v>
      </c>
      <c r="I420" s="107">
        <f t="shared" ref="I420" si="525">I469+0.01</f>
        <v>34000.01</v>
      </c>
      <c r="J420" s="107">
        <f t="shared" si="520"/>
        <v>34000.01</v>
      </c>
      <c r="K420" s="107">
        <f t="shared" si="520"/>
        <v>34000.01</v>
      </c>
      <c r="AF420" s="176"/>
    </row>
    <row r="421" spans="1:32">
      <c r="A421" s="60"/>
      <c r="B421" s="8">
        <v>100</v>
      </c>
      <c r="C421" s="366">
        <v>2.5350000000000001</v>
      </c>
      <c r="D421" s="107">
        <f t="shared" si="510"/>
        <v>35000.01</v>
      </c>
      <c r="E421" s="107">
        <f t="shared" si="510"/>
        <v>35000.01</v>
      </c>
      <c r="F421" s="107">
        <f t="shared" ref="F421:G421" si="526">F470+0.01</f>
        <v>35000.01</v>
      </c>
      <c r="G421" s="107">
        <f t="shared" si="526"/>
        <v>35000.01</v>
      </c>
      <c r="H421" s="107">
        <f t="shared" si="520"/>
        <v>35000.01</v>
      </c>
      <c r="I421" s="107">
        <f t="shared" ref="I421" si="527">I470+0.01</f>
        <v>35000.01</v>
      </c>
      <c r="J421" s="107">
        <f t="shared" si="520"/>
        <v>35000.01</v>
      </c>
      <c r="K421" s="107">
        <f t="shared" si="520"/>
        <v>35000.01</v>
      </c>
      <c r="AF421" s="176"/>
    </row>
    <row r="422" spans="1:32">
      <c r="A422" s="60"/>
      <c r="B422" s="8">
        <v>101</v>
      </c>
      <c r="C422" s="366">
        <v>2.3370000000000002</v>
      </c>
      <c r="D422" s="107">
        <f t="shared" si="510"/>
        <v>36000.01</v>
      </c>
      <c r="E422" s="107">
        <f t="shared" si="510"/>
        <v>36000.01</v>
      </c>
      <c r="F422" s="107">
        <f t="shared" ref="F422:G422" si="528">F471+0.01</f>
        <v>36000.01</v>
      </c>
      <c r="G422" s="107">
        <f t="shared" si="528"/>
        <v>36000.01</v>
      </c>
      <c r="H422" s="107">
        <f t="shared" si="520"/>
        <v>36000.01</v>
      </c>
      <c r="I422" s="107">
        <f t="shared" ref="I422" si="529">I471+0.01</f>
        <v>36000.01</v>
      </c>
      <c r="J422" s="107">
        <f t="shared" si="520"/>
        <v>36000.01</v>
      </c>
      <c r="K422" s="107">
        <f t="shared" si="520"/>
        <v>36000.01</v>
      </c>
      <c r="AF422" s="176"/>
    </row>
    <row r="423" spans="1:32">
      <c r="A423" s="60"/>
      <c r="B423" s="8">
        <v>102</v>
      </c>
      <c r="C423" s="366">
        <v>2.149</v>
      </c>
      <c r="D423" s="107">
        <f t="shared" si="510"/>
        <v>37000.01</v>
      </c>
      <c r="E423" s="107">
        <f t="shared" si="510"/>
        <v>37000.01</v>
      </c>
      <c r="F423" s="107">
        <f t="shared" ref="F423:G423" si="530">F472+0.01</f>
        <v>37000.01</v>
      </c>
      <c r="G423" s="107">
        <f t="shared" si="530"/>
        <v>37000.01</v>
      </c>
      <c r="H423" s="107">
        <f t="shared" si="520"/>
        <v>37000.01</v>
      </c>
      <c r="I423" s="107">
        <f t="shared" ref="I423" si="531">I472+0.01</f>
        <v>37000.01</v>
      </c>
      <c r="J423" s="107">
        <f t="shared" si="520"/>
        <v>37000.01</v>
      </c>
      <c r="K423" s="107">
        <f t="shared" si="520"/>
        <v>37000.01</v>
      </c>
      <c r="AF423" s="176"/>
    </row>
    <row r="424" spans="1:32">
      <c r="A424" s="60"/>
      <c r="B424" s="8">
        <v>103</v>
      </c>
      <c r="C424" s="366">
        <v>1.9690000000000001</v>
      </c>
      <c r="D424" s="107">
        <f t="shared" si="510"/>
        <v>38000.01</v>
      </c>
      <c r="E424" s="107">
        <f t="shared" si="510"/>
        <v>38000.01</v>
      </c>
      <c r="F424" s="107">
        <f t="shared" ref="F424:G424" si="532">F473+0.01</f>
        <v>38000.01</v>
      </c>
      <c r="G424" s="107">
        <f t="shared" si="532"/>
        <v>38000.01</v>
      </c>
      <c r="H424" s="107">
        <f t="shared" si="520"/>
        <v>38000.01</v>
      </c>
      <c r="I424" s="107">
        <f t="shared" ref="I424" si="533">I473+0.01</f>
        <v>38000.01</v>
      </c>
      <c r="J424" s="107">
        <f t="shared" si="520"/>
        <v>38000.01</v>
      </c>
      <c r="K424" s="107">
        <f t="shared" si="520"/>
        <v>38000.01</v>
      </c>
      <c r="AF424" s="176"/>
    </row>
    <row r="425" spans="1:32">
      <c r="A425" s="60"/>
      <c r="B425" s="8">
        <v>104</v>
      </c>
      <c r="C425" s="366">
        <v>1.798</v>
      </c>
      <c r="D425" s="107">
        <f t="shared" si="510"/>
        <v>39000.01</v>
      </c>
      <c r="E425" s="107">
        <f t="shared" si="510"/>
        <v>39000.01</v>
      </c>
      <c r="F425" s="107">
        <f t="shared" ref="F425:G425" si="534">F474+0.01</f>
        <v>39000.01</v>
      </c>
      <c r="G425" s="107">
        <f t="shared" si="534"/>
        <v>39000.01</v>
      </c>
      <c r="H425" s="107">
        <f t="shared" si="520"/>
        <v>39000.01</v>
      </c>
      <c r="I425" s="107">
        <f t="shared" ref="I425" si="535">I474+0.01</f>
        <v>39000.01</v>
      </c>
      <c r="J425" s="107">
        <f t="shared" si="520"/>
        <v>39000.01</v>
      </c>
      <c r="K425" s="107">
        <f t="shared" si="520"/>
        <v>39000.01</v>
      </c>
      <c r="AF425" s="176"/>
    </row>
    <row r="426" spans="1:32">
      <c r="A426" s="60"/>
      <c r="B426" s="8">
        <v>105</v>
      </c>
      <c r="C426" s="366">
        <v>1.6319999999999999</v>
      </c>
      <c r="D426" s="107">
        <f t="shared" si="510"/>
        <v>40000.01</v>
      </c>
      <c r="E426" s="107">
        <f t="shared" si="510"/>
        <v>40000.01</v>
      </c>
      <c r="F426" s="107">
        <f t="shared" ref="F426:G426" si="536">F475+0.01</f>
        <v>40000.01</v>
      </c>
      <c r="G426" s="107">
        <f t="shared" si="536"/>
        <v>40000.01</v>
      </c>
      <c r="H426" s="107">
        <f t="shared" si="520"/>
        <v>40000.01</v>
      </c>
      <c r="I426" s="107">
        <f t="shared" ref="I426" si="537">I475+0.01</f>
        <v>40000.01</v>
      </c>
      <c r="J426" s="107">
        <f t="shared" si="520"/>
        <v>40000.01</v>
      </c>
      <c r="K426" s="107">
        <f t="shared" si="520"/>
        <v>40000.01</v>
      </c>
      <c r="AF426" s="176"/>
    </row>
    <row r="427" spans="1:32">
      <c r="A427" s="60"/>
      <c r="B427" s="8">
        <v>106</v>
      </c>
      <c r="C427" s="366">
        <v>1.468</v>
      </c>
      <c r="D427" s="107">
        <f t="shared" si="510"/>
        <v>41000.01</v>
      </c>
      <c r="E427" s="107">
        <f t="shared" si="510"/>
        <v>41000.01</v>
      </c>
      <c r="F427" s="107">
        <f t="shared" ref="F427:G427" si="538">F476+0.01</f>
        <v>41000.01</v>
      </c>
      <c r="G427" s="107">
        <f t="shared" si="538"/>
        <v>41000.01</v>
      </c>
      <c r="H427" s="107">
        <f t="shared" si="520"/>
        <v>41000.01</v>
      </c>
      <c r="I427" s="107">
        <f t="shared" ref="I427" si="539">I476+0.01</f>
        <v>41000.01</v>
      </c>
      <c r="J427" s="107">
        <f t="shared" si="520"/>
        <v>41000.01</v>
      </c>
      <c r="K427" s="107">
        <f t="shared" si="520"/>
        <v>41000.01</v>
      </c>
      <c r="AF427" s="176"/>
    </row>
    <row r="428" spans="1:32">
      <c r="A428" s="60"/>
      <c r="B428" s="8">
        <v>107</v>
      </c>
      <c r="C428" s="366">
        <v>1.298</v>
      </c>
      <c r="D428" s="107">
        <f t="shared" si="510"/>
        <v>42000.01</v>
      </c>
      <c r="E428" s="107">
        <f t="shared" si="510"/>
        <v>42000.01</v>
      </c>
      <c r="F428" s="107">
        <f t="shared" ref="F428:G428" si="540">F477+0.01</f>
        <v>42000.01</v>
      </c>
      <c r="G428" s="107">
        <f t="shared" si="540"/>
        <v>42000.01</v>
      </c>
      <c r="H428" s="107">
        <f t="shared" si="520"/>
        <v>42000.01</v>
      </c>
      <c r="I428" s="107">
        <f t="shared" ref="I428" si="541">I477+0.01</f>
        <v>42000.01</v>
      </c>
      <c r="J428" s="107">
        <f t="shared" si="520"/>
        <v>42000.01</v>
      </c>
      <c r="K428" s="107">
        <f t="shared" si="520"/>
        <v>42000.01</v>
      </c>
      <c r="AF428" s="176"/>
    </row>
    <row r="429" spans="1:32">
      <c r="A429" s="60"/>
      <c r="B429" s="8">
        <v>108</v>
      </c>
      <c r="C429" s="366">
        <v>1.0980000000000001</v>
      </c>
      <c r="D429" s="107">
        <f t="shared" si="510"/>
        <v>43000.01</v>
      </c>
      <c r="E429" s="107">
        <f t="shared" si="510"/>
        <v>43000.01</v>
      </c>
      <c r="F429" s="107">
        <f t="shared" ref="F429:G429" si="542">F478+0.01</f>
        <v>43000.01</v>
      </c>
      <c r="G429" s="107">
        <f t="shared" si="542"/>
        <v>43000.01</v>
      </c>
      <c r="H429" s="107">
        <f t="shared" si="520"/>
        <v>43000.01</v>
      </c>
      <c r="I429" s="107">
        <f t="shared" ref="I429" si="543">I478+0.01</f>
        <v>43000.01</v>
      </c>
      <c r="J429" s="107">
        <f t="shared" si="520"/>
        <v>43000.01</v>
      </c>
      <c r="K429" s="107">
        <f t="shared" si="520"/>
        <v>43000.01</v>
      </c>
      <c r="AF429" s="176"/>
    </row>
    <row r="430" spans="1:32">
      <c r="A430" s="60"/>
      <c r="B430" s="8">
        <v>109</v>
      </c>
      <c r="C430" s="366">
        <v>0.89700000000000002</v>
      </c>
      <c r="D430" s="107">
        <f t="shared" ref="D430:E444" si="544">D479+0.01</f>
        <v>44000.01</v>
      </c>
      <c r="E430" s="107">
        <f t="shared" si="544"/>
        <v>44000.01</v>
      </c>
      <c r="F430" s="107">
        <f t="shared" ref="F430:G430" si="545">F479+0.01</f>
        <v>44000.01</v>
      </c>
      <c r="G430" s="107">
        <f t="shared" si="545"/>
        <v>44000.01</v>
      </c>
      <c r="H430" s="107">
        <f t="shared" si="520"/>
        <v>44000.01</v>
      </c>
      <c r="I430" s="107">
        <f t="shared" ref="I430" si="546">I479+0.01</f>
        <v>44000.01</v>
      </c>
      <c r="J430" s="107">
        <f t="shared" si="520"/>
        <v>44000.01</v>
      </c>
      <c r="K430" s="107">
        <f t="shared" si="520"/>
        <v>44000.01</v>
      </c>
      <c r="AF430" s="176"/>
    </row>
    <row r="431" spans="1:32">
      <c r="A431" s="60"/>
      <c r="B431" s="8">
        <v>110</v>
      </c>
      <c r="C431" s="366">
        <v>0.57299999999999995</v>
      </c>
      <c r="D431" s="107">
        <f t="shared" si="544"/>
        <v>45000.01</v>
      </c>
      <c r="E431" s="107">
        <f t="shared" si="544"/>
        <v>45000.01</v>
      </c>
      <c r="F431" s="107">
        <f t="shared" ref="F431:G431" si="547">F480+0.01</f>
        <v>45000.01</v>
      </c>
      <c r="G431" s="107">
        <f t="shared" si="547"/>
        <v>45000.01</v>
      </c>
      <c r="H431" s="107">
        <f t="shared" si="520"/>
        <v>45000.01</v>
      </c>
      <c r="I431" s="107">
        <f t="shared" ref="I431" si="548">I480+0.01</f>
        <v>45000.01</v>
      </c>
      <c r="J431" s="107">
        <f t="shared" si="520"/>
        <v>45000.01</v>
      </c>
      <c r="K431" s="107">
        <f t="shared" si="520"/>
        <v>45000.01</v>
      </c>
      <c r="AF431" s="176"/>
    </row>
    <row r="432" spans="1:32">
      <c r="B432" s="395" t="s">
        <v>163</v>
      </c>
      <c r="C432" s="396" t="s">
        <v>160</v>
      </c>
      <c r="D432" s="107">
        <f t="shared" si="544"/>
        <v>46000.01</v>
      </c>
      <c r="E432" s="107">
        <f t="shared" si="544"/>
        <v>46000.01</v>
      </c>
      <c r="F432" s="107">
        <f t="shared" ref="F432:G432" si="549">F481+0.01</f>
        <v>46000.01</v>
      </c>
      <c r="G432" s="107">
        <f t="shared" si="549"/>
        <v>46000.01</v>
      </c>
      <c r="H432" s="107">
        <f t="shared" si="520"/>
        <v>46000.01</v>
      </c>
      <c r="I432" s="107">
        <f t="shared" ref="I432" si="550">I481+0.01</f>
        <v>46000.01</v>
      </c>
      <c r="J432" s="107">
        <f t="shared" si="520"/>
        <v>46000.01</v>
      </c>
      <c r="K432" s="107">
        <f t="shared" si="520"/>
        <v>46000.01</v>
      </c>
      <c r="AF432" s="176"/>
    </row>
    <row r="433" spans="1:34">
      <c r="B433" s="8">
        <v>2002</v>
      </c>
      <c r="C433" s="113">
        <v>48.32</v>
      </c>
      <c r="D433" s="107">
        <f t="shared" si="544"/>
        <v>47000.01</v>
      </c>
      <c r="E433" s="107">
        <f t="shared" si="544"/>
        <v>47000.01</v>
      </c>
      <c r="F433" s="107">
        <f t="shared" ref="F433:G433" si="551">F482+0.01</f>
        <v>47000.01</v>
      </c>
      <c r="G433" s="107">
        <f t="shared" si="551"/>
        <v>47000.01</v>
      </c>
      <c r="H433" s="107">
        <f t="shared" si="520"/>
        <v>47000.01</v>
      </c>
      <c r="I433" s="107">
        <f t="shared" ref="I433" si="552">I482+0.01</f>
        <v>47000.01</v>
      </c>
      <c r="J433" s="107">
        <f t="shared" si="520"/>
        <v>47000.01</v>
      </c>
      <c r="K433" s="107">
        <f t="shared" si="520"/>
        <v>47000.01</v>
      </c>
      <c r="AF433" s="176"/>
    </row>
    <row r="434" spans="1:34">
      <c r="B434" s="8">
        <v>2003</v>
      </c>
      <c r="C434" s="113">
        <v>57.57</v>
      </c>
      <c r="D434" s="107">
        <f t="shared" si="544"/>
        <v>48000.01</v>
      </c>
      <c r="E434" s="107">
        <f t="shared" si="544"/>
        <v>48000.01</v>
      </c>
      <c r="F434" s="107">
        <f t="shared" ref="F434:G434" si="553">F483+0.01</f>
        <v>48000.01</v>
      </c>
      <c r="G434" s="107">
        <f t="shared" si="553"/>
        <v>48000.01</v>
      </c>
      <c r="H434" s="107">
        <f t="shared" si="520"/>
        <v>48000.01</v>
      </c>
      <c r="I434" s="107">
        <f t="shared" ref="I434" si="554">I483+0.01</f>
        <v>48000.01</v>
      </c>
      <c r="J434" s="107">
        <f t="shared" si="520"/>
        <v>48000.01</v>
      </c>
      <c r="K434" s="107">
        <f t="shared" si="520"/>
        <v>48000.01</v>
      </c>
      <c r="AF434" s="176"/>
    </row>
    <row r="435" spans="1:34">
      <c r="B435" s="8">
        <v>2004</v>
      </c>
      <c r="C435" s="113">
        <v>52.65</v>
      </c>
      <c r="D435" s="107">
        <f t="shared" si="544"/>
        <v>49000.01</v>
      </c>
      <c r="E435" s="107">
        <f t="shared" si="544"/>
        <v>49000.01</v>
      </c>
      <c r="F435" s="107">
        <f t="shared" ref="F435:G435" si="555">F484+0.01</f>
        <v>49000.01</v>
      </c>
      <c r="G435" s="107">
        <f t="shared" si="555"/>
        <v>49000.01</v>
      </c>
      <c r="H435" s="107">
        <f t="shared" si="520"/>
        <v>49000.01</v>
      </c>
      <c r="I435" s="107">
        <f t="shared" ref="I435" si="556">I484+0.01</f>
        <v>49000.01</v>
      </c>
      <c r="J435" s="107">
        <f t="shared" si="520"/>
        <v>49000.01</v>
      </c>
      <c r="K435" s="107">
        <f t="shared" si="520"/>
        <v>49000.01</v>
      </c>
      <c r="AF435" s="176"/>
    </row>
    <row r="436" spans="1:34">
      <c r="B436" s="8">
        <v>2005</v>
      </c>
      <c r="C436" s="113">
        <v>40.19</v>
      </c>
      <c r="D436" s="107">
        <f t="shared" si="544"/>
        <v>50000.01</v>
      </c>
      <c r="E436" s="107">
        <f t="shared" si="544"/>
        <v>50000.01</v>
      </c>
      <c r="F436" s="107">
        <f t="shared" ref="F436:G436" si="557">F485+0.01</f>
        <v>50000.01</v>
      </c>
      <c r="G436" s="107">
        <f t="shared" si="557"/>
        <v>50000.01</v>
      </c>
      <c r="H436" s="107">
        <f t="shared" si="520"/>
        <v>50000.01</v>
      </c>
      <c r="I436" s="107">
        <f t="shared" ref="I436" si="558">I485+0.01</f>
        <v>50000.01</v>
      </c>
      <c r="J436" s="107">
        <f t="shared" si="520"/>
        <v>50000.01</v>
      </c>
      <c r="K436" s="107">
        <f t="shared" si="520"/>
        <v>50000.01</v>
      </c>
      <c r="AF436" s="176"/>
    </row>
    <row r="437" spans="1:34">
      <c r="B437" s="8">
        <v>2006</v>
      </c>
      <c r="C437" s="113">
        <v>46.27</v>
      </c>
      <c r="D437" s="107">
        <f t="shared" si="544"/>
        <v>51000.01</v>
      </c>
      <c r="E437" s="107">
        <f t="shared" si="544"/>
        <v>51000.01</v>
      </c>
      <c r="F437" s="107">
        <f t="shared" ref="F437:G437" si="559">F486+0.01</f>
        <v>51000.01</v>
      </c>
      <c r="G437" s="107">
        <f t="shared" si="559"/>
        <v>51000.01</v>
      </c>
      <c r="H437" s="107">
        <f t="shared" si="520"/>
        <v>51000.01</v>
      </c>
      <c r="I437" s="107">
        <f t="shared" ref="I437" si="560">I486+0.01</f>
        <v>51000.01</v>
      </c>
      <c r="J437" s="107">
        <f t="shared" si="520"/>
        <v>51000.01</v>
      </c>
      <c r="K437" s="107">
        <f t="shared" si="520"/>
        <v>51000.01</v>
      </c>
      <c r="AF437" s="176"/>
    </row>
    <row r="438" spans="1:34">
      <c r="B438" s="8">
        <v>2007</v>
      </c>
      <c r="C438" s="113">
        <v>62.01</v>
      </c>
      <c r="D438" s="107">
        <f t="shared" si="544"/>
        <v>52000.01</v>
      </c>
      <c r="E438" s="107">
        <f t="shared" si="544"/>
        <v>52000.01</v>
      </c>
      <c r="F438" s="107">
        <f t="shared" ref="F438:G438" si="561">F487+0.01</f>
        <v>52000.01</v>
      </c>
      <c r="G438" s="107">
        <f t="shared" si="561"/>
        <v>52000.01</v>
      </c>
      <c r="H438" s="107">
        <f t="shared" ref="H438:K444" si="562">H487+0.01</f>
        <v>52000.01</v>
      </c>
      <c r="I438" s="107">
        <f t="shared" ref="I438" si="563">I487+0.01</f>
        <v>52000.01</v>
      </c>
      <c r="J438" s="107">
        <f t="shared" si="562"/>
        <v>52000.01</v>
      </c>
      <c r="K438" s="107">
        <f t="shared" si="562"/>
        <v>52000.01</v>
      </c>
      <c r="AF438" s="176"/>
    </row>
    <row r="439" spans="1:34">
      <c r="B439" s="8">
        <v>2008</v>
      </c>
      <c r="C439" s="113">
        <v>57.8</v>
      </c>
      <c r="D439" s="107">
        <f t="shared" si="544"/>
        <v>53000.01</v>
      </c>
      <c r="E439" s="107">
        <f t="shared" si="544"/>
        <v>53000.01</v>
      </c>
      <c r="F439" s="107">
        <f t="shared" ref="F439:G439" si="564">F488+0.01</f>
        <v>53000.01</v>
      </c>
      <c r="G439" s="107">
        <f t="shared" si="564"/>
        <v>53000.01</v>
      </c>
      <c r="H439" s="107">
        <f t="shared" si="562"/>
        <v>53000.01</v>
      </c>
      <c r="I439" s="107">
        <f t="shared" ref="I439" si="565">I488+0.01</f>
        <v>53000.01</v>
      </c>
      <c r="J439" s="107">
        <f t="shared" si="562"/>
        <v>53000.01</v>
      </c>
      <c r="K439" s="107">
        <f t="shared" si="562"/>
        <v>53000.01</v>
      </c>
      <c r="AF439" s="176"/>
    </row>
    <row r="440" spans="1:34">
      <c r="A440" s="33"/>
      <c r="B440" s="8">
        <v>2009</v>
      </c>
      <c r="C440" s="113">
        <v>89.49</v>
      </c>
      <c r="D440" s="107">
        <f t="shared" si="544"/>
        <v>54000.01</v>
      </c>
      <c r="E440" s="107">
        <f t="shared" si="544"/>
        <v>54000.01</v>
      </c>
      <c r="F440" s="107">
        <f t="shared" ref="F440:G440" si="566">F489+0.01</f>
        <v>54000.01</v>
      </c>
      <c r="G440" s="107">
        <f t="shared" si="566"/>
        <v>54000.01</v>
      </c>
      <c r="H440" s="107">
        <f t="shared" si="562"/>
        <v>54000.01</v>
      </c>
      <c r="I440" s="107">
        <f t="shared" ref="I440" si="567">I489+0.01</f>
        <v>54000.01</v>
      </c>
      <c r="J440" s="107">
        <f t="shared" si="562"/>
        <v>54000.01</v>
      </c>
      <c r="K440" s="107">
        <f t="shared" si="562"/>
        <v>54000.01</v>
      </c>
      <c r="AF440" s="176"/>
    </row>
    <row r="441" spans="1:34">
      <c r="A441" s="33"/>
      <c r="B441" s="8">
        <v>2010</v>
      </c>
      <c r="C441" s="113">
        <v>67.16</v>
      </c>
      <c r="D441" s="107">
        <f t="shared" si="544"/>
        <v>55000.01</v>
      </c>
      <c r="E441" s="107">
        <f t="shared" si="544"/>
        <v>55000.01</v>
      </c>
      <c r="F441" s="107">
        <f t="shared" ref="F441:G441" si="568">F490+0.01</f>
        <v>55000.01</v>
      </c>
      <c r="G441" s="107">
        <f t="shared" si="568"/>
        <v>55000.01</v>
      </c>
      <c r="H441" s="107">
        <f t="shared" si="562"/>
        <v>55000.01</v>
      </c>
      <c r="I441" s="107">
        <f t="shared" ref="I441" si="569">I490+0.01</f>
        <v>55000.01</v>
      </c>
      <c r="J441" s="107">
        <f t="shared" si="562"/>
        <v>55000.01</v>
      </c>
      <c r="K441" s="107">
        <f t="shared" si="562"/>
        <v>55000.01</v>
      </c>
      <c r="AF441" s="176"/>
    </row>
    <row r="442" spans="1:34">
      <c r="A442" s="33"/>
      <c r="B442" s="8">
        <v>2011</v>
      </c>
      <c r="C442" s="113">
        <v>40.729999999999997</v>
      </c>
      <c r="D442" s="107">
        <f t="shared" si="544"/>
        <v>56000.01</v>
      </c>
      <c r="E442" s="107">
        <f t="shared" si="544"/>
        <v>56000.01</v>
      </c>
      <c r="F442" s="107">
        <f t="shared" ref="F442:G442" si="570">F491+0.01</f>
        <v>56000.01</v>
      </c>
      <c r="G442" s="107">
        <f t="shared" si="570"/>
        <v>56000.01</v>
      </c>
      <c r="H442" s="107">
        <f t="shared" si="562"/>
        <v>56000.01</v>
      </c>
      <c r="I442" s="107">
        <f t="shared" ref="I442" si="571">I491+0.01</f>
        <v>56000.01</v>
      </c>
      <c r="J442" s="107">
        <f t="shared" si="562"/>
        <v>56000.01</v>
      </c>
      <c r="K442" s="107">
        <f t="shared" si="562"/>
        <v>56000.01</v>
      </c>
      <c r="AF442" s="176"/>
    </row>
    <row r="443" spans="1:34">
      <c r="A443" s="33"/>
      <c r="B443" s="8">
        <v>2012</v>
      </c>
      <c r="C443" s="113">
        <v>35.35</v>
      </c>
      <c r="D443" s="107">
        <f t="shared" si="544"/>
        <v>57000.01</v>
      </c>
      <c r="E443" s="107">
        <f t="shared" si="544"/>
        <v>57000.01</v>
      </c>
      <c r="F443" s="107">
        <f t="shared" ref="F443:G443" si="572">F492+0.01</f>
        <v>57000.01</v>
      </c>
      <c r="G443" s="107">
        <f t="shared" si="572"/>
        <v>57000.01</v>
      </c>
      <c r="H443" s="107">
        <f t="shared" si="562"/>
        <v>57000.01</v>
      </c>
      <c r="I443" s="107">
        <f t="shared" ref="I443" si="573">I492+0.01</f>
        <v>57000.01</v>
      </c>
      <c r="J443" s="107">
        <f t="shared" si="562"/>
        <v>57000.01</v>
      </c>
      <c r="K443" s="107">
        <f t="shared" si="562"/>
        <v>57000.01</v>
      </c>
      <c r="AF443" s="176"/>
    </row>
    <row r="444" spans="1:34">
      <c r="A444" s="33"/>
      <c r="B444" s="8">
        <v>2013</v>
      </c>
      <c r="C444" s="113">
        <v>26.31</v>
      </c>
      <c r="D444" s="107">
        <f t="shared" si="544"/>
        <v>58000.01</v>
      </c>
      <c r="E444" s="107">
        <f t="shared" si="544"/>
        <v>58000.01</v>
      </c>
      <c r="F444" s="107">
        <f t="shared" ref="F444:G444" si="574">F493+0.01</f>
        <v>58000.01</v>
      </c>
      <c r="G444" s="107">
        <f t="shared" si="574"/>
        <v>58000.01</v>
      </c>
      <c r="H444" s="107">
        <f t="shared" si="562"/>
        <v>58000.01</v>
      </c>
      <c r="I444" s="107">
        <f t="shared" ref="I444" si="575">I493+0.01</f>
        <v>58000.01</v>
      </c>
      <c r="J444" s="107">
        <f t="shared" si="562"/>
        <v>58000.01</v>
      </c>
      <c r="K444" s="107">
        <f t="shared" si="562"/>
        <v>58000.01</v>
      </c>
      <c r="AF444" s="176"/>
    </row>
    <row r="445" spans="1:34">
      <c r="A445" s="33"/>
      <c r="B445" s="8">
        <v>2014</v>
      </c>
      <c r="C445" s="113">
        <v>28.15</v>
      </c>
      <c r="D445" s="107"/>
      <c r="E445" s="107"/>
      <c r="F445" s="107"/>
      <c r="G445" s="107"/>
      <c r="H445" s="107"/>
      <c r="I445" s="107"/>
      <c r="J445" s="107"/>
      <c r="K445" s="107"/>
      <c r="AF445" s="176"/>
    </row>
    <row r="446" spans="1:34">
      <c r="A446" s="33"/>
      <c r="B446" s="8">
        <v>2015</v>
      </c>
      <c r="C446" s="113">
        <v>13.03</v>
      </c>
      <c r="D446" s="8" t="s">
        <v>48</v>
      </c>
      <c r="E446" s="8" t="s">
        <v>48</v>
      </c>
      <c r="F446" s="8" t="s">
        <v>48</v>
      </c>
      <c r="G446" s="8" t="s">
        <v>48</v>
      </c>
      <c r="H446" s="8" t="s">
        <v>48</v>
      </c>
      <c r="I446" s="8" t="s">
        <v>48</v>
      </c>
      <c r="J446" s="8" t="s">
        <v>48</v>
      </c>
      <c r="K446" s="8" t="s">
        <v>48</v>
      </c>
      <c r="AF446" s="176"/>
      <c r="AH446" s="185"/>
    </row>
    <row r="447" spans="1:34">
      <c r="A447" s="414"/>
      <c r="B447" s="8">
        <v>2016</v>
      </c>
      <c r="C447" s="113">
        <v>3.18</v>
      </c>
      <c r="D447" s="108">
        <f t="shared" ref="D447:K447" si="576">IF(D129=1,7033,IF(OR(D129=2,D129=3),4922,7033))</f>
        <v>7033</v>
      </c>
      <c r="E447" s="108">
        <f t="shared" ref="E447" si="577">IF(E129=1,7033,IF(OR(E129=2,E129=3),4922,7033))</f>
        <v>7033</v>
      </c>
      <c r="F447" s="108">
        <f t="shared" si="576"/>
        <v>7033</v>
      </c>
      <c r="G447" s="108">
        <f t="shared" si="576"/>
        <v>7033</v>
      </c>
      <c r="H447" s="108">
        <f t="shared" si="576"/>
        <v>7033</v>
      </c>
      <c r="I447" s="108">
        <f t="shared" ref="I447" si="578">IF(I129=1,7033,IF(OR(I129=2,I129=3),4922,7033))</f>
        <v>7033</v>
      </c>
      <c r="J447" s="108">
        <f t="shared" si="576"/>
        <v>7033</v>
      </c>
      <c r="K447" s="108">
        <f t="shared" si="576"/>
        <v>7033</v>
      </c>
      <c r="AF447" s="176"/>
      <c r="AH447" s="185"/>
    </row>
    <row r="448" spans="1:34">
      <c r="A448" s="33"/>
      <c r="B448" s="127" t="s">
        <v>163</v>
      </c>
      <c r="C448" s="360" t="s">
        <v>161</v>
      </c>
      <c r="D448" s="104">
        <v>13000</v>
      </c>
      <c r="E448" s="104">
        <v>13000</v>
      </c>
      <c r="F448" s="104">
        <v>13000</v>
      </c>
      <c r="G448" s="104">
        <v>13000</v>
      </c>
      <c r="H448" s="104">
        <v>13000</v>
      </c>
      <c r="I448" s="104">
        <v>13000</v>
      </c>
      <c r="J448" s="104">
        <v>13000</v>
      </c>
      <c r="K448" s="104">
        <v>13000</v>
      </c>
      <c r="AF448" s="176"/>
    </row>
    <row r="449" spans="1:32">
      <c r="A449" s="33"/>
      <c r="B449" s="8">
        <v>2002</v>
      </c>
      <c r="C449" s="113">
        <v>44.17</v>
      </c>
      <c r="D449" s="104">
        <v>14000</v>
      </c>
      <c r="E449" s="104">
        <v>14000</v>
      </c>
      <c r="F449" s="104">
        <v>14000</v>
      </c>
      <c r="G449" s="104">
        <v>14000</v>
      </c>
      <c r="H449" s="104">
        <v>14000</v>
      </c>
      <c r="I449" s="104">
        <v>14000</v>
      </c>
      <c r="J449" s="104">
        <v>14000</v>
      </c>
      <c r="K449" s="104">
        <v>14000</v>
      </c>
      <c r="AF449" s="176"/>
    </row>
    <row r="450" spans="1:32">
      <c r="A450" s="33"/>
      <c r="B450" s="8">
        <v>2003</v>
      </c>
      <c r="C450" s="113">
        <v>53.45</v>
      </c>
      <c r="D450" s="104">
        <v>15000</v>
      </c>
      <c r="E450" s="104">
        <v>15000</v>
      </c>
      <c r="F450" s="104">
        <v>15000</v>
      </c>
      <c r="G450" s="104">
        <v>15000</v>
      </c>
      <c r="H450" s="104">
        <v>15000</v>
      </c>
      <c r="I450" s="104">
        <v>15000</v>
      </c>
      <c r="J450" s="104">
        <v>15000</v>
      </c>
      <c r="K450" s="104">
        <v>15000</v>
      </c>
      <c r="AF450" s="176"/>
    </row>
    <row r="451" spans="1:32">
      <c r="A451" s="33"/>
      <c r="B451" s="8">
        <v>2004</v>
      </c>
      <c r="C451" s="113">
        <v>607.59</v>
      </c>
      <c r="D451" s="104">
        <v>16000</v>
      </c>
      <c r="E451" s="104">
        <v>16000</v>
      </c>
      <c r="F451" s="104">
        <v>16000</v>
      </c>
      <c r="G451" s="104">
        <v>16000</v>
      </c>
      <c r="H451" s="104">
        <v>16000</v>
      </c>
      <c r="I451" s="104">
        <v>16000</v>
      </c>
      <c r="J451" s="104">
        <v>16000</v>
      </c>
      <c r="K451" s="104">
        <v>16000</v>
      </c>
      <c r="AF451" s="176"/>
    </row>
    <row r="452" spans="1:32">
      <c r="A452" s="33"/>
      <c r="B452" s="8">
        <v>2005</v>
      </c>
      <c r="C452" s="113">
        <v>143.9</v>
      </c>
      <c r="D452" s="104">
        <v>17000</v>
      </c>
      <c r="E452" s="104">
        <v>17000</v>
      </c>
      <c r="F452" s="104">
        <v>17000</v>
      </c>
      <c r="G452" s="104">
        <v>17000</v>
      </c>
      <c r="H452" s="104">
        <v>17000</v>
      </c>
      <c r="I452" s="104">
        <v>17000</v>
      </c>
      <c r="J452" s="104">
        <v>17000</v>
      </c>
      <c r="K452" s="104">
        <v>17000</v>
      </c>
      <c r="AF452" s="176"/>
    </row>
    <row r="453" spans="1:32">
      <c r="A453" s="33"/>
      <c r="B453" s="8">
        <v>2006</v>
      </c>
      <c r="C453" s="113">
        <v>166.88</v>
      </c>
      <c r="D453" s="104">
        <v>18000</v>
      </c>
      <c r="E453" s="104">
        <v>18000</v>
      </c>
      <c r="F453" s="104">
        <v>18000</v>
      </c>
      <c r="G453" s="104">
        <v>18000</v>
      </c>
      <c r="H453" s="104">
        <v>18000</v>
      </c>
      <c r="I453" s="104">
        <v>18000</v>
      </c>
      <c r="J453" s="104">
        <v>18000</v>
      </c>
      <c r="K453" s="104">
        <v>18000</v>
      </c>
      <c r="AF453" s="176"/>
    </row>
    <row r="454" spans="1:32">
      <c r="A454" s="33"/>
      <c r="B454" s="8">
        <v>2007</v>
      </c>
      <c r="C454" s="113">
        <v>191.06</v>
      </c>
      <c r="D454" s="104">
        <v>19000</v>
      </c>
      <c r="E454" s="104">
        <v>19000</v>
      </c>
      <c r="F454" s="104">
        <v>19000</v>
      </c>
      <c r="G454" s="104">
        <v>19000</v>
      </c>
      <c r="H454" s="104">
        <v>19000</v>
      </c>
      <c r="I454" s="104">
        <v>19000</v>
      </c>
      <c r="J454" s="104">
        <v>19000</v>
      </c>
      <c r="K454" s="104">
        <v>19000</v>
      </c>
      <c r="AF454" s="176"/>
    </row>
    <row r="455" spans="1:32">
      <c r="A455" s="33"/>
      <c r="B455" s="8">
        <v>2008</v>
      </c>
      <c r="C455" s="113">
        <v>202.56</v>
      </c>
      <c r="D455" s="104">
        <v>20000</v>
      </c>
      <c r="E455" s="104">
        <v>20000</v>
      </c>
      <c r="F455" s="104">
        <v>20000</v>
      </c>
      <c r="G455" s="104">
        <v>20000</v>
      </c>
      <c r="H455" s="104">
        <v>20000</v>
      </c>
      <c r="I455" s="104">
        <v>20000</v>
      </c>
      <c r="J455" s="104">
        <v>20000</v>
      </c>
      <c r="K455" s="104">
        <v>20000</v>
      </c>
      <c r="AF455" s="176"/>
    </row>
    <row r="456" spans="1:32">
      <c r="A456" s="33"/>
      <c r="B456" s="8">
        <v>2009</v>
      </c>
      <c r="C456" s="113">
        <v>307.88</v>
      </c>
      <c r="D456" s="104">
        <v>21000</v>
      </c>
      <c r="E456" s="104">
        <v>21000</v>
      </c>
      <c r="F456" s="104">
        <v>21000</v>
      </c>
      <c r="G456" s="104">
        <v>21000</v>
      </c>
      <c r="H456" s="104">
        <v>21000</v>
      </c>
      <c r="I456" s="104">
        <v>21000</v>
      </c>
      <c r="J456" s="104">
        <v>21000</v>
      </c>
      <c r="K456" s="104">
        <v>21000</v>
      </c>
      <c r="AF456" s="176"/>
    </row>
    <row r="457" spans="1:32">
      <c r="A457" s="33"/>
      <c r="B457" s="8">
        <v>2010</v>
      </c>
      <c r="C457" s="113">
        <v>165.39</v>
      </c>
      <c r="D457" s="104">
        <v>22000</v>
      </c>
      <c r="E457" s="104">
        <v>22000</v>
      </c>
      <c r="F457" s="104">
        <v>22000</v>
      </c>
      <c r="G457" s="104">
        <v>22000</v>
      </c>
      <c r="H457" s="104">
        <v>22000</v>
      </c>
      <c r="I457" s="104">
        <v>22000</v>
      </c>
      <c r="J457" s="104">
        <v>22000</v>
      </c>
      <c r="K457" s="104">
        <v>22000</v>
      </c>
      <c r="AF457" s="176"/>
    </row>
    <row r="458" spans="1:32">
      <c r="A458" s="33"/>
      <c r="B458" s="8">
        <v>2011</v>
      </c>
      <c r="C458" s="113">
        <v>133.41</v>
      </c>
      <c r="D458" s="104">
        <v>23000</v>
      </c>
      <c r="E458" s="104">
        <v>23000</v>
      </c>
      <c r="F458" s="104">
        <v>23000</v>
      </c>
      <c r="G458" s="104">
        <v>23000</v>
      </c>
      <c r="H458" s="104">
        <v>23000</v>
      </c>
      <c r="I458" s="104">
        <v>23000</v>
      </c>
      <c r="J458" s="104">
        <v>23000</v>
      </c>
      <c r="K458" s="104">
        <v>23000</v>
      </c>
      <c r="AF458" s="176"/>
    </row>
    <row r="459" spans="1:32">
      <c r="A459" s="33"/>
      <c r="B459" s="8">
        <v>2012</v>
      </c>
      <c r="C459" s="113">
        <v>106.46</v>
      </c>
      <c r="D459" s="104">
        <v>24000</v>
      </c>
      <c r="E459" s="104">
        <v>24000</v>
      </c>
      <c r="F459" s="104">
        <v>24000</v>
      </c>
      <c r="G459" s="104">
        <v>24000</v>
      </c>
      <c r="H459" s="104">
        <v>24000</v>
      </c>
      <c r="I459" s="104">
        <v>24000</v>
      </c>
      <c r="J459" s="104">
        <v>24000</v>
      </c>
      <c r="K459" s="104">
        <v>24000</v>
      </c>
      <c r="AF459" s="176"/>
    </row>
    <row r="460" spans="1:32">
      <c r="A460" s="33"/>
      <c r="B460" s="8">
        <v>2013</v>
      </c>
      <c r="C460" s="113">
        <v>96.18</v>
      </c>
      <c r="D460" s="104">
        <v>25000</v>
      </c>
      <c r="E460" s="104">
        <v>25000</v>
      </c>
      <c r="F460" s="104">
        <v>25000</v>
      </c>
      <c r="G460" s="104">
        <v>25000</v>
      </c>
      <c r="H460" s="104">
        <v>25000</v>
      </c>
      <c r="I460" s="104">
        <v>25000</v>
      </c>
      <c r="J460" s="104">
        <v>25000</v>
      </c>
      <c r="K460" s="104">
        <v>25000</v>
      </c>
      <c r="AF460" s="176"/>
    </row>
    <row r="461" spans="1:32">
      <c r="A461" s="33"/>
      <c r="B461" s="8">
        <v>2014</v>
      </c>
      <c r="C461" s="113">
        <v>66.53</v>
      </c>
      <c r="D461" s="104">
        <v>26000</v>
      </c>
      <c r="E461" s="104">
        <v>26000</v>
      </c>
      <c r="F461" s="104">
        <v>26000</v>
      </c>
      <c r="G461" s="104">
        <v>26000</v>
      </c>
      <c r="H461" s="104">
        <v>26000</v>
      </c>
      <c r="I461" s="104">
        <v>26000</v>
      </c>
      <c r="J461" s="104">
        <v>26000</v>
      </c>
      <c r="K461" s="104">
        <v>26000</v>
      </c>
      <c r="AF461" s="176"/>
    </row>
    <row r="462" spans="1:32">
      <c r="A462" s="33"/>
      <c r="B462" s="8">
        <v>2015</v>
      </c>
      <c r="C462" s="113">
        <v>59.3</v>
      </c>
      <c r="D462" s="104">
        <v>27000</v>
      </c>
      <c r="E462" s="104">
        <v>27000</v>
      </c>
      <c r="F462" s="104">
        <v>27000</v>
      </c>
      <c r="G462" s="104">
        <v>27000</v>
      </c>
      <c r="H462" s="104">
        <v>27000</v>
      </c>
      <c r="I462" s="104">
        <v>27000</v>
      </c>
      <c r="J462" s="104">
        <v>27000</v>
      </c>
      <c r="K462" s="104">
        <v>27000</v>
      </c>
      <c r="AF462" s="176"/>
    </row>
    <row r="463" spans="1:32">
      <c r="A463" s="33"/>
      <c r="B463" s="8">
        <v>2016</v>
      </c>
      <c r="C463" s="113">
        <v>24.12</v>
      </c>
      <c r="D463" s="104">
        <v>28000</v>
      </c>
      <c r="E463" s="104">
        <v>28000</v>
      </c>
      <c r="F463" s="104">
        <v>28000</v>
      </c>
      <c r="G463" s="104">
        <v>28000</v>
      </c>
      <c r="H463" s="104">
        <v>28000</v>
      </c>
      <c r="I463" s="104">
        <v>28000</v>
      </c>
      <c r="J463" s="104">
        <v>28000</v>
      </c>
      <c r="K463" s="104">
        <v>28000</v>
      </c>
      <c r="AF463" s="176"/>
    </row>
    <row r="464" spans="1:32">
      <c r="A464" s="33"/>
      <c r="B464" s="127" t="s">
        <v>163</v>
      </c>
      <c r="C464" s="360" t="s">
        <v>162</v>
      </c>
      <c r="D464" s="104">
        <v>29000</v>
      </c>
      <c r="E464" s="104">
        <v>29000</v>
      </c>
      <c r="F464" s="104">
        <v>29000</v>
      </c>
      <c r="G464" s="104">
        <v>29000</v>
      </c>
      <c r="H464" s="104">
        <v>29000</v>
      </c>
      <c r="I464" s="104">
        <v>29000</v>
      </c>
      <c r="J464" s="104">
        <v>29000</v>
      </c>
      <c r="K464" s="104">
        <v>29000</v>
      </c>
      <c r="AF464" s="176"/>
    </row>
    <row r="465" spans="1:32">
      <c r="A465" s="33"/>
      <c r="B465" s="8">
        <v>2002</v>
      </c>
      <c r="C465" s="113">
        <v>0.2</v>
      </c>
      <c r="D465" s="104">
        <v>30000</v>
      </c>
      <c r="E465" s="104">
        <v>30000</v>
      </c>
      <c r="F465" s="104">
        <v>30000</v>
      </c>
      <c r="G465" s="104">
        <v>30000</v>
      </c>
      <c r="H465" s="104">
        <v>30000</v>
      </c>
      <c r="I465" s="104">
        <v>30000</v>
      </c>
      <c r="J465" s="104">
        <v>30000</v>
      </c>
      <c r="K465" s="104">
        <v>30000</v>
      </c>
      <c r="AF465" s="176"/>
    </row>
    <row r="466" spans="1:32">
      <c r="A466" s="33"/>
      <c r="B466" s="8">
        <v>2003</v>
      </c>
      <c r="C466" s="113">
        <v>0.24</v>
      </c>
      <c r="D466" s="104">
        <v>31000</v>
      </c>
      <c r="E466" s="104">
        <v>31000</v>
      </c>
      <c r="F466" s="104">
        <v>31000</v>
      </c>
      <c r="G466" s="104">
        <v>31000</v>
      </c>
      <c r="H466" s="104">
        <v>31000</v>
      </c>
      <c r="I466" s="104">
        <v>31000</v>
      </c>
      <c r="J466" s="104">
        <v>31000</v>
      </c>
      <c r="K466" s="104">
        <v>31000</v>
      </c>
      <c r="AF466" s="176"/>
    </row>
    <row r="467" spans="1:32">
      <c r="A467" s="33"/>
      <c r="B467" s="8">
        <v>2004</v>
      </c>
      <c r="C467" s="113">
        <v>0.34</v>
      </c>
      <c r="D467" s="104">
        <v>32000</v>
      </c>
      <c r="E467" s="104">
        <v>32000</v>
      </c>
      <c r="F467" s="104">
        <v>32000</v>
      </c>
      <c r="G467" s="104">
        <v>32000</v>
      </c>
      <c r="H467" s="104">
        <v>32000</v>
      </c>
      <c r="I467" s="104">
        <v>32000</v>
      </c>
      <c r="J467" s="104">
        <v>32000</v>
      </c>
      <c r="K467" s="104">
        <v>32000</v>
      </c>
      <c r="AF467" s="176"/>
    </row>
    <row r="468" spans="1:32">
      <c r="A468" s="33"/>
      <c r="B468" s="8">
        <v>2005</v>
      </c>
      <c r="C468" s="113">
        <v>0.36</v>
      </c>
      <c r="D468" s="104">
        <v>33000</v>
      </c>
      <c r="E468" s="104">
        <v>33000</v>
      </c>
      <c r="F468" s="104">
        <v>33000</v>
      </c>
      <c r="G468" s="104">
        <v>33000</v>
      </c>
      <c r="H468" s="104">
        <v>33000</v>
      </c>
      <c r="I468" s="104">
        <v>33000</v>
      </c>
      <c r="J468" s="104">
        <v>33000</v>
      </c>
      <c r="K468" s="104">
        <v>33000</v>
      </c>
      <c r="AF468" s="176"/>
    </row>
    <row r="469" spans="1:32">
      <c r="A469" s="33"/>
      <c r="B469" s="8">
        <v>2006</v>
      </c>
      <c r="C469" s="113">
        <v>0.39</v>
      </c>
      <c r="D469" s="104">
        <v>34000</v>
      </c>
      <c r="E469" s="104">
        <v>34000</v>
      </c>
      <c r="F469" s="104">
        <v>34000</v>
      </c>
      <c r="G469" s="104">
        <v>34000</v>
      </c>
      <c r="H469" s="104">
        <v>34000</v>
      </c>
      <c r="I469" s="104">
        <v>34000</v>
      </c>
      <c r="J469" s="104">
        <v>34000</v>
      </c>
      <c r="K469" s="104">
        <v>34000</v>
      </c>
      <c r="AF469" s="176"/>
    </row>
    <row r="470" spans="1:32">
      <c r="A470" s="33"/>
      <c r="B470" s="8">
        <v>2007</v>
      </c>
      <c r="C470" s="113">
        <v>0.67</v>
      </c>
      <c r="D470" s="104">
        <v>35000</v>
      </c>
      <c r="E470" s="104">
        <v>35000</v>
      </c>
      <c r="F470" s="104">
        <v>35000</v>
      </c>
      <c r="G470" s="104">
        <v>35000</v>
      </c>
      <c r="H470" s="104">
        <v>35000</v>
      </c>
      <c r="I470" s="104">
        <v>35000</v>
      </c>
      <c r="J470" s="104">
        <v>35000</v>
      </c>
      <c r="K470" s="104">
        <v>35000</v>
      </c>
      <c r="AF470" s="176"/>
    </row>
    <row r="471" spans="1:32">
      <c r="A471" s="33"/>
      <c r="B471" s="8">
        <v>2008</v>
      </c>
      <c r="C471" s="113">
        <v>0.62</v>
      </c>
      <c r="D471" s="104">
        <v>36000</v>
      </c>
      <c r="E471" s="104">
        <v>36000</v>
      </c>
      <c r="F471" s="104">
        <v>36000</v>
      </c>
      <c r="G471" s="104">
        <v>36000</v>
      </c>
      <c r="H471" s="104">
        <v>36000</v>
      </c>
      <c r="I471" s="104">
        <v>36000</v>
      </c>
      <c r="J471" s="104">
        <v>36000</v>
      </c>
      <c r="K471" s="104">
        <v>36000</v>
      </c>
      <c r="AF471" s="176"/>
    </row>
    <row r="472" spans="1:32">
      <c r="A472" s="33"/>
      <c r="B472" s="8">
        <v>2009</v>
      </c>
      <c r="C472" s="113">
        <v>0.63</v>
      </c>
      <c r="D472" s="104">
        <v>37000</v>
      </c>
      <c r="E472" s="104">
        <v>37000</v>
      </c>
      <c r="F472" s="104">
        <v>37000</v>
      </c>
      <c r="G472" s="104">
        <v>37000</v>
      </c>
      <c r="H472" s="104">
        <v>37000</v>
      </c>
      <c r="I472" s="104">
        <v>37000</v>
      </c>
      <c r="J472" s="104">
        <v>37000</v>
      </c>
      <c r="K472" s="104">
        <v>37000</v>
      </c>
      <c r="AF472" s="176"/>
    </row>
    <row r="473" spans="1:32">
      <c r="A473" s="33"/>
      <c r="B473" s="8">
        <v>2010</v>
      </c>
      <c r="C473" s="113">
        <v>0.61</v>
      </c>
      <c r="D473" s="104">
        <v>38000</v>
      </c>
      <c r="E473" s="104">
        <v>38000</v>
      </c>
      <c r="F473" s="104">
        <v>38000</v>
      </c>
      <c r="G473" s="104">
        <v>38000</v>
      </c>
      <c r="H473" s="104">
        <v>38000</v>
      </c>
      <c r="I473" s="104">
        <v>38000</v>
      </c>
      <c r="J473" s="104">
        <v>38000</v>
      </c>
      <c r="K473" s="104">
        <v>38000</v>
      </c>
      <c r="AF473" s="176"/>
    </row>
    <row r="474" spans="1:32">
      <c r="A474" s="33"/>
      <c r="B474" s="8">
        <v>2011</v>
      </c>
      <c r="C474" s="113">
        <v>4.24</v>
      </c>
      <c r="D474" s="104">
        <v>39000</v>
      </c>
      <c r="E474" s="104">
        <v>39000</v>
      </c>
      <c r="F474" s="104">
        <v>39000</v>
      </c>
      <c r="G474" s="104">
        <v>39000</v>
      </c>
      <c r="H474" s="104">
        <v>39000</v>
      </c>
      <c r="I474" s="104">
        <v>39000</v>
      </c>
      <c r="J474" s="104">
        <v>39000</v>
      </c>
      <c r="K474" s="104">
        <v>39000</v>
      </c>
      <c r="AF474" s="176"/>
    </row>
    <row r="475" spans="1:32">
      <c r="A475" s="33"/>
      <c r="B475" s="8">
        <v>2012</v>
      </c>
      <c r="C475" s="113">
        <v>0.27</v>
      </c>
      <c r="D475" s="104">
        <v>40000</v>
      </c>
      <c r="E475" s="104">
        <v>40000</v>
      </c>
      <c r="F475" s="104">
        <v>40000</v>
      </c>
      <c r="G475" s="104">
        <v>40000</v>
      </c>
      <c r="H475" s="104">
        <v>40000</v>
      </c>
      <c r="I475" s="104">
        <v>40000</v>
      </c>
      <c r="J475" s="104">
        <v>40000</v>
      </c>
      <c r="K475" s="104">
        <v>40000</v>
      </c>
      <c r="AF475" s="176"/>
    </row>
    <row r="476" spans="1:32">
      <c r="A476" s="33"/>
      <c r="B476" s="8">
        <v>2013</v>
      </c>
      <c r="C476" s="113">
        <v>0.05</v>
      </c>
      <c r="D476" s="104">
        <v>41000</v>
      </c>
      <c r="E476" s="104">
        <v>41000</v>
      </c>
      <c r="F476" s="104">
        <v>41000</v>
      </c>
      <c r="G476" s="104">
        <v>41000</v>
      </c>
      <c r="H476" s="104">
        <v>41000</v>
      </c>
      <c r="I476" s="104">
        <v>41000</v>
      </c>
      <c r="J476" s="104">
        <v>41000</v>
      </c>
      <c r="K476" s="104">
        <v>41000</v>
      </c>
    </row>
    <row r="477" spans="1:32">
      <c r="A477" s="33"/>
      <c r="B477" s="8">
        <v>2014</v>
      </c>
      <c r="C477" s="113">
        <v>0.28999999999999998</v>
      </c>
      <c r="D477" s="104">
        <v>42000</v>
      </c>
      <c r="E477" s="104">
        <v>42000</v>
      </c>
      <c r="F477" s="104">
        <v>42000</v>
      </c>
      <c r="G477" s="104">
        <v>42000</v>
      </c>
      <c r="H477" s="104">
        <v>42000</v>
      </c>
      <c r="I477" s="104">
        <v>42000</v>
      </c>
      <c r="J477" s="104">
        <v>42000</v>
      </c>
      <c r="K477" s="104">
        <v>42000</v>
      </c>
    </row>
    <row r="478" spans="1:32">
      <c r="A478" s="33"/>
      <c r="B478" s="8">
        <v>2015</v>
      </c>
      <c r="C478" s="113">
        <v>0.28000000000000003</v>
      </c>
      <c r="D478" s="104">
        <v>43000</v>
      </c>
      <c r="E478" s="104">
        <v>43000</v>
      </c>
      <c r="F478" s="104">
        <v>43000</v>
      </c>
      <c r="G478" s="104">
        <v>43000</v>
      </c>
      <c r="H478" s="104">
        <v>43000</v>
      </c>
      <c r="I478" s="104">
        <v>43000</v>
      </c>
      <c r="J478" s="104">
        <v>43000</v>
      </c>
      <c r="K478" s="104">
        <v>43000</v>
      </c>
    </row>
    <row r="479" spans="1:32">
      <c r="A479" s="33"/>
      <c r="B479" s="8">
        <v>2016</v>
      </c>
      <c r="C479" s="113">
        <v>0.25</v>
      </c>
      <c r="D479" s="104">
        <v>44000</v>
      </c>
      <c r="E479" s="104">
        <v>44000</v>
      </c>
      <c r="F479" s="104">
        <v>44000</v>
      </c>
      <c r="G479" s="104">
        <v>44000</v>
      </c>
      <c r="H479" s="104">
        <v>44000</v>
      </c>
      <c r="I479" s="104">
        <v>44000</v>
      </c>
      <c r="J479" s="104">
        <v>44000</v>
      </c>
      <c r="K479" s="104">
        <v>44000</v>
      </c>
    </row>
    <row r="480" spans="1:32">
      <c r="A480" s="33"/>
      <c r="B480" s="127" t="s">
        <v>163</v>
      </c>
      <c r="C480" s="360" t="s">
        <v>164</v>
      </c>
      <c r="D480" s="352">
        <v>45000</v>
      </c>
      <c r="E480" s="352">
        <v>45000</v>
      </c>
      <c r="F480" s="104">
        <v>45000</v>
      </c>
      <c r="G480" s="104">
        <v>45000</v>
      </c>
      <c r="H480" s="104">
        <v>45000</v>
      </c>
      <c r="I480" s="104">
        <v>45000</v>
      </c>
      <c r="J480" s="104">
        <v>45000</v>
      </c>
      <c r="K480" s="104">
        <v>45000</v>
      </c>
    </row>
    <row r="481" spans="1:24">
      <c r="A481" s="33"/>
      <c r="B481" s="8">
        <v>2002</v>
      </c>
      <c r="C481" s="113">
        <v>0</v>
      </c>
      <c r="D481" s="104">
        <v>46000</v>
      </c>
      <c r="E481" s="104">
        <v>46000</v>
      </c>
      <c r="F481" s="104">
        <v>46000</v>
      </c>
      <c r="G481" s="104">
        <v>46000</v>
      </c>
      <c r="H481" s="104">
        <v>46000</v>
      </c>
      <c r="I481" s="104">
        <v>46000</v>
      </c>
      <c r="J481" s="104">
        <v>46000</v>
      </c>
      <c r="K481" s="104">
        <v>46000</v>
      </c>
    </row>
    <row r="482" spans="1:24">
      <c r="A482" s="33"/>
      <c r="B482" s="8">
        <v>2003</v>
      </c>
      <c r="C482" s="113">
        <v>0</v>
      </c>
      <c r="D482" s="104">
        <v>47000</v>
      </c>
      <c r="E482" s="104">
        <v>47000</v>
      </c>
      <c r="F482" s="104">
        <v>47000</v>
      </c>
      <c r="G482" s="104">
        <v>47000</v>
      </c>
      <c r="H482" s="104">
        <v>47000</v>
      </c>
      <c r="I482" s="104">
        <v>47000</v>
      </c>
      <c r="J482" s="104">
        <v>47000</v>
      </c>
      <c r="K482" s="104">
        <v>47000</v>
      </c>
    </row>
    <row r="483" spans="1:24">
      <c r="A483" s="33"/>
      <c r="B483" s="8">
        <v>2004</v>
      </c>
      <c r="C483" s="113">
        <v>0</v>
      </c>
      <c r="D483" s="104">
        <v>48000</v>
      </c>
      <c r="E483" s="104">
        <v>48000</v>
      </c>
      <c r="F483" s="104">
        <v>48000</v>
      </c>
      <c r="G483" s="104">
        <v>48000</v>
      </c>
      <c r="H483" s="104">
        <v>48000</v>
      </c>
      <c r="I483" s="104">
        <v>48000</v>
      </c>
      <c r="J483" s="104">
        <v>48000</v>
      </c>
      <c r="K483" s="104">
        <v>48000</v>
      </c>
    </row>
    <row r="484" spans="1:24">
      <c r="A484" s="33"/>
      <c r="B484" s="8">
        <v>2005</v>
      </c>
      <c r="C484" s="113">
        <v>0</v>
      </c>
      <c r="D484" s="104">
        <v>49000</v>
      </c>
      <c r="E484" s="104">
        <v>49000</v>
      </c>
      <c r="F484" s="104">
        <v>49000</v>
      </c>
      <c r="G484" s="104">
        <v>49000</v>
      </c>
      <c r="H484" s="104">
        <v>49000</v>
      </c>
      <c r="I484" s="104">
        <v>49000</v>
      </c>
      <c r="J484" s="104">
        <v>49000</v>
      </c>
      <c r="K484" s="104">
        <v>49000</v>
      </c>
    </row>
    <row r="485" spans="1:24">
      <c r="A485" s="33"/>
      <c r="B485" s="8">
        <v>2006</v>
      </c>
      <c r="C485" s="113">
        <v>0</v>
      </c>
      <c r="D485" s="104">
        <v>50000</v>
      </c>
      <c r="E485" s="104">
        <v>50000</v>
      </c>
      <c r="F485" s="104">
        <v>50000</v>
      </c>
      <c r="G485" s="104">
        <v>50000</v>
      </c>
      <c r="H485" s="104">
        <v>50000</v>
      </c>
      <c r="I485" s="104">
        <v>50000</v>
      </c>
      <c r="J485" s="104">
        <v>50000</v>
      </c>
      <c r="K485" s="104">
        <v>50000</v>
      </c>
    </row>
    <row r="486" spans="1:24">
      <c r="A486" s="33"/>
      <c r="B486" s="8">
        <v>2007</v>
      </c>
      <c r="C486" s="113">
        <v>6.54</v>
      </c>
      <c r="D486" s="104">
        <v>51000</v>
      </c>
      <c r="E486" s="104">
        <v>51000</v>
      </c>
      <c r="F486" s="104">
        <v>51000</v>
      </c>
      <c r="G486" s="104">
        <v>51000</v>
      </c>
      <c r="H486" s="104">
        <v>51000</v>
      </c>
      <c r="I486" s="104">
        <v>51000</v>
      </c>
      <c r="J486" s="104">
        <v>51000</v>
      </c>
      <c r="K486" s="104">
        <v>51000</v>
      </c>
    </row>
    <row r="487" spans="1:24">
      <c r="A487" s="33"/>
      <c r="B487" s="8">
        <v>2008</v>
      </c>
      <c r="C487" s="113">
        <v>6.32</v>
      </c>
      <c r="D487" s="104">
        <v>52000</v>
      </c>
      <c r="E487" s="104">
        <v>52000</v>
      </c>
      <c r="F487" s="104">
        <v>52000</v>
      </c>
      <c r="G487" s="104">
        <v>52000</v>
      </c>
      <c r="H487" s="104">
        <v>52000</v>
      </c>
      <c r="I487" s="104">
        <v>52000</v>
      </c>
      <c r="J487" s="104">
        <v>52000</v>
      </c>
      <c r="K487" s="104">
        <v>52000</v>
      </c>
    </row>
    <row r="488" spans="1:24">
      <c r="A488" s="33"/>
      <c r="B488" s="8">
        <v>2009</v>
      </c>
      <c r="C488" s="113">
        <v>6.48</v>
      </c>
      <c r="D488" s="104">
        <v>53000</v>
      </c>
      <c r="E488" s="104">
        <v>53000</v>
      </c>
      <c r="F488" s="104">
        <v>53000</v>
      </c>
      <c r="G488" s="104">
        <v>53000</v>
      </c>
      <c r="H488" s="104">
        <v>53000</v>
      </c>
      <c r="I488" s="104">
        <v>53000</v>
      </c>
      <c r="J488" s="104">
        <v>53000</v>
      </c>
      <c r="K488" s="104">
        <v>53000</v>
      </c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</row>
    <row r="489" spans="1:24">
      <c r="A489" s="33"/>
      <c r="B489" s="8">
        <v>2010</v>
      </c>
      <c r="C489" s="113">
        <v>1.28</v>
      </c>
      <c r="D489" s="104">
        <v>54000</v>
      </c>
      <c r="E489" s="104">
        <v>54000</v>
      </c>
      <c r="F489" s="104">
        <v>54000</v>
      </c>
      <c r="G489" s="104">
        <v>54000</v>
      </c>
      <c r="H489" s="104">
        <v>54000</v>
      </c>
      <c r="I489" s="104">
        <v>54000</v>
      </c>
      <c r="J489" s="104">
        <v>54000</v>
      </c>
      <c r="K489" s="104">
        <v>54000</v>
      </c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</row>
    <row r="490" spans="1:24">
      <c r="A490" s="33"/>
      <c r="B490" s="8">
        <v>2011</v>
      </c>
      <c r="C490" s="113">
        <v>1.03</v>
      </c>
      <c r="D490" s="104">
        <v>55000</v>
      </c>
      <c r="E490" s="104">
        <v>55000</v>
      </c>
      <c r="F490" s="104">
        <v>55000</v>
      </c>
      <c r="G490" s="104">
        <v>55000</v>
      </c>
      <c r="H490" s="104">
        <v>55000</v>
      </c>
      <c r="I490" s="104">
        <v>55000</v>
      </c>
      <c r="J490" s="104">
        <v>55000</v>
      </c>
      <c r="K490" s="104">
        <v>55000</v>
      </c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</row>
    <row r="491" spans="1:24">
      <c r="A491" s="33"/>
      <c r="B491" s="8">
        <v>2012</v>
      </c>
      <c r="C491" s="113">
        <v>2.4</v>
      </c>
      <c r="D491" s="104">
        <v>56000</v>
      </c>
      <c r="E491" s="104">
        <v>56000</v>
      </c>
      <c r="F491" s="104">
        <v>56000</v>
      </c>
      <c r="G491" s="104">
        <v>56000</v>
      </c>
      <c r="H491" s="104">
        <v>56000</v>
      </c>
      <c r="I491" s="104">
        <v>56000</v>
      </c>
      <c r="J491" s="104">
        <v>56000</v>
      </c>
      <c r="K491" s="104">
        <v>56000</v>
      </c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</row>
    <row r="492" spans="1:24">
      <c r="A492" s="33"/>
      <c r="B492" s="8">
        <v>2013</v>
      </c>
      <c r="C492" s="113">
        <v>4.33</v>
      </c>
      <c r="D492" s="104">
        <v>57000</v>
      </c>
      <c r="E492" s="104">
        <v>57000</v>
      </c>
      <c r="F492" s="104">
        <v>57000</v>
      </c>
      <c r="G492" s="104">
        <v>57000</v>
      </c>
      <c r="H492" s="104">
        <v>57000</v>
      </c>
      <c r="I492" s="104">
        <v>57000</v>
      </c>
      <c r="J492" s="104">
        <v>57000</v>
      </c>
      <c r="K492" s="104">
        <v>57000</v>
      </c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</row>
    <row r="493" spans="1:24">
      <c r="A493" s="33"/>
      <c r="B493" s="8">
        <v>2014</v>
      </c>
      <c r="C493" s="113">
        <v>0.01</v>
      </c>
      <c r="D493" s="104">
        <v>58000</v>
      </c>
      <c r="E493" s="104">
        <v>58000</v>
      </c>
      <c r="F493" s="104">
        <v>58000</v>
      </c>
      <c r="G493" s="104">
        <v>58000</v>
      </c>
      <c r="H493" s="104">
        <v>58000</v>
      </c>
      <c r="I493" s="104">
        <v>58000</v>
      </c>
      <c r="J493" s="104">
        <v>58000</v>
      </c>
      <c r="K493" s="104">
        <v>58000</v>
      </c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</row>
    <row r="494" spans="1:24">
      <c r="A494" s="33"/>
      <c r="B494" s="8">
        <v>2015</v>
      </c>
      <c r="C494" s="113">
        <v>0</v>
      </c>
      <c r="D494" s="104"/>
      <c r="E494" s="104"/>
      <c r="F494" s="104"/>
      <c r="G494" s="104"/>
      <c r="H494" s="104"/>
      <c r="I494" s="104"/>
      <c r="J494" s="104"/>
      <c r="K494" s="104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</row>
    <row r="495" spans="1:24">
      <c r="A495" s="33"/>
      <c r="B495" s="8">
        <v>2016</v>
      </c>
      <c r="C495" s="113">
        <v>0</v>
      </c>
      <c r="D495" s="109" t="s">
        <v>35</v>
      </c>
      <c r="E495" s="109" t="s">
        <v>35</v>
      </c>
      <c r="F495" s="109" t="s">
        <v>35</v>
      </c>
      <c r="G495" s="109" t="s">
        <v>35</v>
      </c>
      <c r="H495" s="109" t="s">
        <v>35</v>
      </c>
      <c r="I495" s="109" t="s">
        <v>35</v>
      </c>
      <c r="J495" s="109" t="s">
        <v>35</v>
      </c>
      <c r="K495" s="109" t="s">
        <v>35</v>
      </c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</row>
    <row r="496" spans="1:24">
      <c r="A496" s="33"/>
      <c r="B496" s="127" t="s">
        <v>163</v>
      </c>
      <c r="C496" s="360" t="s">
        <v>165</v>
      </c>
      <c r="D496" s="110">
        <v>0</v>
      </c>
      <c r="E496" s="110">
        <v>0</v>
      </c>
      <c r="F496" s="110">
        <v>0</v>
      </c>
      <c r="G496" s="110">
        <v>0</v>
      </c>
      <c r="H496" s="110">
        <v>0</v>
      </c>
      <c r="I496" s="110">
        <v>0</v>
      </c>
      <c r="J496" s="110">
        <v>0</v>
      </c>
      <c r="K496" s="110">
        <v>0</v>
      </c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</row>
    <row r="497" spans="1:24">
      <c r="A497" s="33"/>
      <c r="B497" s="8">
        <v>2002</v>
      </c>
      <c r="C497" s="113">
        <v>69.510000000000005</v>
      </c>
      <c r="D497" s="110">
        <v>0.5</v>
      </c>
      <c r="E497" s="110">
        <v>0.5</v>
      </c>
      <c r="F497" s="110">
        <v>0.5</v>
      </c>
      <c r="G497" s="110">
        <v>0.5</v>
      </c>
      <c r="H497" s="110">
        <v>0.5</v>
      </c>
      <c r="I497" s="110">
        <v>0.5</v>
      </c>
      <c r="J497" s="110">
        <v>0.5</v>
      </c>
      <c r="K497" s="110">
        <v>0.5</v>
      </c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</row>
    <row r="498" spans="1:24">
      <c r="A498" s="33"/>
      <c r="B498" s="8">
        <v>2003</v>
      </c>
      <c r="C498" s="113">
        <v>44.74</v>
      </c>
      <c r="D498" s="110">
        <v>0.49</v>
      </c>
      <c r="E498" s="110">
        <v>0.49</v>
      </c>
      <c r="F498" s="110">
        <v>0.49</v>
      </c>
      <c r="G498" s="110">
        <v>0.49</v>
      </c>
      <c r="H498" s="110">
        <v>0.49</v>
      </c>
      <c r="I498" s="110">
        <v>0.49</v>
      </c>
      <c r="J498" s="110">
        <v>0.49</v>
      </c>
      <c r="K498" s="110">
        <v>0.49</v>
      </c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</row>
    <row r="499" spans="1:24">
      <c r="A499" s="33"/>
      <c r="B499" s="8">
        <v>2004</v>
      </c>
      <c r="C499" s="113">
        <v>31.75</v>
      </c>
      <c r="D499" s="110">
        <v>0.48</v>
      </c>
      <c r="E499" s="110">
        <v>0.48</v>
      </c>
      <c r="F499" s="110">
        <v>0.48</v>
      </c>
      <c r="G499" s="110">
        <v>0.48</v>
      </c>
      <c r="H499" s="110">
        <v>0.48</v>
      </c>
      <c r="I499" s="110">
        <v>0.48</v>
      </c>
      <c r="J499" s="110">
        <v>0.48</v>
      </c>
      <c r="K499" s="110">
        <v>0.48</v>
      </c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</row>
    <row r="500" spans="1:24">
      <c r="A500" s="33"/>
      <c r="B500" s="8">
        <v>2005</v>
      </c>
      <c r="C500" s="113">
        <v>18.22</v>
      </c>
      <c r="D500" s="110">
        <v>0.47</v>
      </c>
      <c r="E500" s="110">
        <v>0.47</v>
      </c>
      <c r="F500" s="110">
        <v>0.47</v>
      </c>
      <c r="G500" s="110">
        <v>0.47</v>
      </c>
      <c r="H500" s="110">
        <v>0.47</v>
      </c>
      <c r="I500" s="110">
        <v>0.47</v>
      </c>
      <c r="J500" s="110">
        <v>0.47</v>
      </c>
      <c r="K500" s="110">
        <v>0.47</v>
      </c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</row>
    <row r="501" spans="1:24">
      <c r="A501" s="33"/>
      <c r="B501" s="8">
        <v>2006</v>
      </c>
      <c r="C501" s="113">
        <v>19.079999999999998</v>
      </c>
      <c r="D501" s="110">
        <v>0.46</v>
      </c>
      <c r="E501" s="110">
        <v>0.46</v>
      </c>
      <c r="F501" s="110">
        <v>0.46</v>
      </c>
      <c r="G501" s="110">
        <v>0.46</v>
      </c>
      <c r="H501" s="110">
        <v>0.46</v>
      </c>
      <c r="I501" s="110">
        <v>0.46</v>
      </c>
      <c r="J501" s="110">
        <v>0.46</v>
      </c>
      <c r="K501" s="110">
        <v>0.46</v>
      </c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</row>
    <row r="502" spans="1:24">
      <c r="A502" s="33"/>
      <c r="B502" s="8">
        <v>2007</v>
      </c>
      <c r="C502" s="113">
        <v>27.08</v>
      </c>
      <c r="D502" s="110">
        <v>0.45</v>
      </c>
      <c r="E502" s="110">
        <v>0.45</v>
      </c>
      <c r="F502" s="110">
        <v>0.45</v>
      </c>
      <c r="G502" s="110">
        <v>0.45</v>
      </c>
      <c r="H502" s="110">
        <v>0.45</v>
      </c>
      <c r="I502" s="110">
        <v>0.45</v>
      </c>
      <c r="J502" s="110">
        <v>0.45</v>
      </c>
      <c r="K502" s="110">
        <v>0.45</v>
      </c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</row>
    <row r="503" spans="1:24">
      <c r="A503" s="33"/>
      <c r="B503" s="8">
        <v>2008</v>
      </c>
      <c r="C503" s="113">
        <v>0.12</v>
      </c>
      <c r="D503" s="110">
        <v>0.44</v>
      </c>
      <c r="E503" s="110">
        <v>0.44</v>
      </c>
      <c r="F503" s="110">
        <v>0.44</v>
      </c>
      <c r="G503" s="110">
        <v>0.44</v>
      </c>
      <c r="H503" s="110">
        <v>0.44</v>
      </c>
      <c r="I503" s="110">
        <v>0.44</v>
      </c>
      <c r="J503" s="110">
        <v>0.44</v>
      </c>
      <c r="K503" s="110">
        <v>0.44</v>
      </c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</row>
    <row r="504" spans="1:24">
      <c r="A504" s="33"/>
      <c r="B504" s="8">
        <v>2009</v>
      </c>
      <c r="C504" s="113">
        <v>0.13</v>
      </c>
      <c r="D504" s="110">
        <v>0.43</v>
      </c>
      <c r="E504" s="110">
        <v>0.43</v>
      </c>
      <c r="F504" s="110">
        <v>0.43</v>
      </c>
      <c r="G504" s="110">
        <v>0.43</v>
      </c>
      <c r="H504" s="110">
        <v>0.43</v>
      </c>
      <c r="I504" s="110">
        <v>0.43</v>
      </c>
      <c r="J504" s="110">
        <v>0.43</v>
      </c>
      <c r="K504" s="110">
        <v>0.43</v>
      </c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</row>
    <row r="505" spans="1:24">
      <c r="A505" s="33"/>
      <c r="B505" s="8">
        <v>2010</v>
      </c>
      <c r="C505" s="113">
        <v>0.18</v>
      </c>
      <c r="D505" s="110">
        <v>0.42</v>
      </c>
      <c r="E505" s="110">
        <v>0.42</v>
      </c>
      <c r="F505" s="110">
        <v>0.42</v>
      </c>
      <c r="G505" s="110">
        <v>0.42</v>
      </c>
      <c r="H505" s="110">
        <v>0.42</v>
      </c>
      <c r="I505" s="110">
        <v>0.42</v>
      </c>
      <c r="J505" s="110">
        <v>0.42</v>
      </c>
      <c r="K505" s="110">
        <v>0.42</v>
      </c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</row>
    <row r="506" spans="1:24">
      <c r="A506" s="33"/>
      <c r="B506" s="8">
        <v>2011</v>
      </c>
      <c r="C506" s="113">
        <v>0.57999999999999996</v>
      </c>
      <c r="D506" s="110">
        <v>0.41</v>
      </c>
      <c r="E506" s="110">
        <v>0.41</v>
      </c>
      <c r="F506" s="110">
        <v>0.41</v>
      </c>
      <c r="G506" s="110">
        <v>0.41</v>
      </c>
      <c r="H506" s="110">
        <v>0.41</v>
      </c>
      <c r="I506" s="110">
        <v>0.41</v>
      </c>
      <c r="J506" s="110">
        <v>0.41</v>
      </c>
      <c r="K506" s="110">
        <v>0.41</v>
      </c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</row>
    <row r="507" spans="1:24">
      <c r="A507" s="33"/>
      <c r="B507" s="8">
        <v>2012</v>
      </c>
      <c r="C507" s="113">
        <v>0.54</v>
      </c>
      <c r="D507" s="110">
        <v>0.4</v>
      </c>
      <c r="E507" s="110">
        <v>0.4</v>
      </c>
      <c r="F507" s="110">
        <v>0.4</v>
      </c>
      <c r="G507" s="110">
        <v>0.4</v>
      </c>
      <c r="H507" s="110">
        <v>0.4</v>
      </c>
      <c r="I507" s="110">
        <v>0.4</v>
      </c>
      <c r="J507" s="110">
        <v>0.4</v>
      </c>
      <c r="K507" s="110">
        <v>0.4</v>
      </c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</row>
    <row r="508" spans="1:24">
      <c r="A508" s="33"/>
      <c r="B508" s="8">
        <v>2013</v>
      </c>
      <c r="C508" s="113">
        <v>0.77</v>
      </c>
      <c r="D508" s="110">
        <v>0.39</v>
      </c>
      <c r="E508" s="110">
        <v>0.39</v>
      </c>
      <c r="F508" s="110">
        <v>0.39</v>
      </c>
      <c r="G508" s="110">
        <v>0.39</v>
      </c>
      <c r="H508" s="110">
        <v>0.39</v>
      </c>
      <c r="I508" s="110">
        <v>0.39</v>
      </c>
      <c r="J508" s="110">
        <v>0.39</v>
      </c>
      <c r="K508" s="110">
        <v>0.39</v>
      </c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</row>
    <row r="509" spans="1:24">
      <c r="A509" s="33"/>
      <c r="B509" s="8">
        <v>2014</v>
      </c>
      <c r="C509" s="113">
        <v>0.63</v>
      </c>
      <c r="D509" s="110">
        <v>0.38</v>
      </c>
      <c r="E509" s="110">
        <v>0.38</v>
      </c>
      <c r="F509" s="110">
        <v>0.38</v>
      </c>
      <c r="G509" s="110">
        <v>0.38</v>
      </c>
      <c r="H509" s="110">
        <v>0.38</v>
      </c>
      <c r="I509" s="110">
        <v>0.38</v>
      </c>
      <c r="J509" s="110">
        <v>0.38</v>
      </c>
      <c r="K509" s="110">
        <v>0.38</v>
      </c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</row>
    <row r="510" spans="1:24">
      <c r="A510" s="33"/>
      <c r="B510" s="8">
        <v>2015</v>
      </c>
      <c r="C510" s="113">
        <v>0</v>
      </c>
      <c r="D510" s="110">
        <v>0.37</v>
      </c>
      <c r="E510" s="110">
        <v>0.37</v>
      </c>
      <c r="F510" s="110">
        <v>0.37</v>
      </c>
      <c r="G510" s="110">
        <v>0.37</v>
      </c>
      <c r="H510" s="110">
        <v>0.37</v>
      </c>
      <c r="I510" s="110">
        <v>0.37</v>
      </c>
      <c r="J510" s="110">
        <v>0.37</v>
      </c>
      <c r="K510" s="110">
        <v>0.37</v>
      </c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</row>
    <row r="511" spans="1:24">
      <c r="A511" s="33"/>
      <c r="B511" s="8">
        <v>2016</v>
      </c>
      <c r="C511" s="113">
        <v>0</v>
      </c>
      <c r="D511" s="110">
        <v>0.36</v>
      </c>
      <c r="E511" s="110">
        <v>0.36</v>
      </c>
      <c r="F511" s="110">
        <v>0.36</v>
      </c>
      <c r="G511" s="110">
        <v>0.36</v>
      </c>
      <c r="H511" s="110">
        <v>0.36</v>
      </c>
      <c r="I511" s="110">
        <v>0.36</v>
      </c>
      <c r="J511" s="110">
        <v>0.36</v>
      </c>
      <c r="K511" s="110">
        <v>0.36</v>
      </c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</row>
    <row r="512" spans="1:24">
      <c r="A512" s="33"/>
      <c r="B512" s="127" t="s">
        <v>163</v>
      </c>
      <c r="C512" s="360" t="s">
        <v>135</v>
      </c>
      <c r="D512" s="110">
        <v>0.35</v>
      </c>
      <c r="E512" s="110">
        <v>0.35</v>
      </c>
      <c r="F512" s="110">
        <v>0.35</v>
      </c>
      <c r="G512" s="110">
        <v>0.35</v>
      </c>
      <c r="H512" s="110">
        <v>0.35</v>
      </c>
      <c r="I512" s="110">
        <v>0.35</v>
      </c>
      <c r="J512" s="110">
        <v>0.35</v>
      </c>
      <c r="K512" s="110">
        <v>0.35</v>
      </c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</row>
    <row r="513" spans="1:24">
      <c r="A513" s="33"/>
      <c r="B513" s="8">
        <v>2002</v>
      </c>
      <c r="C513" s="113">
        <v>2.99</v>
      </c>
      <c r="D513" s="110">
        <v>0.34</v>
      </c>
      <c r="E513" s="110">
        <v>0.34</v>
      </c>
      <c r="F513" s="110">
        <v>0.34</v>
      </c>
      <c r="G513" s="110">
        <v>0.34</v>
      </c>
      <c r="H513" s="110">
        <v>0.34</v>
      </c>
      <c r="I513" s="110">
        <v>0.34</v>
      </c>
      <c r="J513" s="110">
        <v>0.34</v>
      </c>
      <c r="K513" s="110">
        <v>0.34</v>
      </c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</row>
    <row r="514" spans="1:24">
      <c r="A514" s="33"/>
      <c r="B514" s="8">
        <v>2003</v>
      </c>
      <c r="C514" s="113">
        <v>2.91</v>
      </c>
      <c r="D514" s="110">
        <v>0.33</v>
      </c>
      <c r="E514" s="110">
        <v>0.33</v>
      </c>
      <c r="F514" s="110">
        <v>0.33</v>
      </c>
      <c r="G514" s="110">
        <v>0.33</v>
      </c>
      <c r="H514" s="110">
        <v>0.33</v>
      </c>
      <c r="I514" s="110">
        <v>0.33</v>
      </c>
      <c r="J514" s="110">
        <v>0.33</v>
      </c>
      <c r="K514" s="110">
        <v>0.33</v>
      </c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</row>
    <row r="515" spans="1:24">
      <c r="A515" s="33"/>
      <c r="B515" s="8">
        <v>2004</v>
      </c>
      <c r="C515" s="113">
        <v>2.76</v>
      </c>
      <c r="D515" s="110">
        <v>0.32</v>
      </c>
      <c r="E515" s="110">
        <v>0.32</v>
      </c>
      <c r="F515" s="110">
        <v>0.32</v>
      </c>
      <c r="G515" s="110">
        <v>0.32</v>
      </c>
      <c r="H515" s="110">
        <v>0.32</v>
      </c>
      <c r="I515" s="110">
        <v>0.32</v>
      </c>
      <c r="J515" s="110">
        <v>0.32</v>
      </c>
      <c r="K515" s="110">
        <v>0.32</v>
      </c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</row>
    <row r="516" spans="1:24">
      <c r="A516" s="33"/>
      <c r="B516" s="8">
        <v>2005</v>
      </c>
      <c r="C516" s="113">
        <v>2.6</v>
      </c>
      <c r="D516" s="110">
        <v>0.31</v>
      </c>
      <c r="E516" s="110">
        <v>0.31</v>
      </c>
      <c r="F516" s="110">
        <v>0.31</v>
      </c>
      <c r="G516" s="110">
        <v>0.31</v>
      </c>
      <c r="H516" s="110">
        <v>0.31</v>
      </c>
      <c r="I516" s="110">
        <v>0.31</v>
      </c>
      <c r="J516" s="110">
        <v>0.31</v>
      </c>
      <c r="K516" s="110">
        <v>0.31</v>
      </c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</row>
    <row r="517" spans="1:24">
      <c r="A517" s="33"/>
      <c r="B517" s="8">
        <v>2006</v>
      </c>
      <c r="C517" s="113">
        <v>3.51</v>
      </c>
      <c r="D517" s="110">
        <v>0.3</v>
      </c>
      <c r="E517" s="110">
        <v>0.3</v>
      </c>
      <c r="F517" s="110">
        <v>0.3</v>
      </c>
      <c r="G517" s="110">
        <v>0.3</v>
      </c>
      <c r="H517" s="110">
        <v>0.3</v>
      </c>
      <c r="I517" s="110">
        <v>0.3</v>
      </c>
      <c r="J517" s="110">
        <v>0.3</v>
      </c>
      <c r="K517" s="110">
        <v>0.3</v>
      </c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</row>
    <row r="518" spans="1:24">
      <c r="A518" s="33"/>
      <c r="B518" s="8">
        <v>2007</v>
      </c>
      <c r="C518" s="113">
        <v>0</v>
      </c>
      <c r="D518" s="110">
        <v>0.28999999999999998</v>
      </c>
      <c r="E518" s="110">
        <v>0.28999999999999998</v>
      </c>
      <c r="F518" s="110">
        <v>0.28999999999999998</v>
      </c>
      <c r="G518" s="110">
        <v>0.28999999999999998</v>
      </c>
      <c r="H518" s="110">
        <v>0.28999999999999998</v>
      </c>
      <c r="I518" s="110">
        <v>0.28999999999999998</v>
      </c>
      <c r="J518" s="110">
        <v>0.28999999999999998</v>
      </c>
      <c r="K518" s="110">
        <v>0.28999999999999998</v>
      </c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</row>
    <row r="519" spans="1:24">
      <c r="A519" s="33"/>
      <c r="B519" s="8">
        <v>2008</v>
      </c>
      <c r="C519" s="113">
        <v>0</v>
      </c>
      <c r="D519" s="110">
        <v>0.28000000000000003</v>
      </c>
      <c r="E519" s="110">
        <v>0.28000000000000003</v>
      </c>
      <c r="F519" s="110">
        <v>0.28000000000000003</v>
      </c>
      <c r="G519" s="110">
        <v>0.28000000000000003</v>
      </c>
      <c r="H519" s="110">
        <v>0.28000000000000003</v>
      </c>
      <c r="I519" s="110">
        <v>0.28000000000000003</v>
      </c>
      <c r="J519" s="110">
        <v>0.28000000000000003</v>
      </c>
      <c r="K519" s="110">
        <v>0.28000000000000003</v>
      </c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</row>
    <row r="520" spans="1:24">
      <c r="A520" s="33"/>
      <c r="B520" s="8">
        <v>2009</v>
      </c>
      <c r="C520" s="113">
        <v>0</v>
      </c>
      <c r="D520" s="110">
        <v>0.27</v>
      </c>
      <c r="E520" s="110">
        <v>0.27</v>
      </c>
      <c r="F520" s="110">
        <v>0.27</v>
      </c>
      <c r="G520" s="110">
        <v>0.27</v>
      </c>
      <c r="H520" s="110">
        <v>0.27</v>
      </c>
      <c r="I520" s="110">
        <v>0.27</v>
      </c>
      <c r="J520" s="110">
        <v>0.27</v>
      </c>
      <c r="K520" s="110">
        <v>0.27</v>
      </c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</row>
    <row r="521" spans="1:24">
      <c r="A521" s="33"/>
      <c r="B521" s="8">
        <v>2010</v>
      </c>
      <c r="C521" s="113">
        <v>0</v>
      </c>
      <c r="D521" s="110">
        <v>0.26</v>
      </c>
      <c r="E521" s="110">
        <v>0.26</v>
      </c>
      <c r="F521" s="110">
        <v>0.26</v>
      </c>
      <c r="G521" s="110">
        <v>0.26</v>
      </c>
      <c r="H521" s="110">
        <v>0.26</v>
      </c>
      <c r="I521" s="110">
        <v>0.26</v>
      </c>
      <c r="J521" s="110">
        <v>0.26</v>
      </c>
      <c r="K521" s="110">
        <v>0.26</v>
      </c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</row>
    <row r="522" spans="1:24">
      <c r="A522" s="33"/>
      <c r="B522" s="8">
        <v>2011</v>
      </c>
      <c r="C522" s="113">
        <v>0</v>
      </c>
      <c r="D522" s="110">
        <v>0.25</v>
      </c>
      <c r="E522" s="110">
        <v>0.25</v>
      </c>
      <c r="F522" s="110">
        <v>0.25</v>
      </c>
      <c r="G522" s="110">
        <v>0.25</v>
      </c>
      <c r="H522" s="110">
        <v>0.25</v>
      </c>
      <c r="I522" s="110">
        <v>0.25</v>
      </c>
      <c r="J522" s="110">
        <v>0.25</v>
      </c>
      <c r="K522" s="110">
        <v>0.25</v>
      </c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</row>
    <row r="523" spans="1:24">
      <c r="A523" s="33"/>
      <c r="B523" s="8">
        <v>2012</v>
      </c>
      <c r="C523" s="113">
        <v>0</v>
      </c>
      <c r="D523" s="110">
        <v>0.24</v>
      </c>
      <c r="E523" s="110">
        <v>0.24</v>
      </c>
      <c r="F523" s="110">
        <v>0.24</v>
      </c>
      <c r="G523" s="110">
        <v>0.24</v>
      </c>
      <c r="H523" s="110">
        <v>0.24</v>
      </c>
      <c r="I523" s="110">
        <v>0.24</v>
      </c>
      <c r="J523" s="110">
        <v>0.24</v>
      </c>
      <c r="K523" s="110">
        <v>0.24</v>
      </c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</row>
    <row r="524" spans="1:24">
      <c r="A524" s="33"/>
      <c r="B524" s="8">
        <v>2013</v>
      </c>
      <c r="C524" s="113">
        <v>0</v>
      </c>
      <c r="D524" s="110">
        <v>0.23</v>
      </c>
      <c r="E524" s="110">
        <v>0.23</v>
      </c>
      <c r="F524" s="110">
        <v>0.23</v>
      </c>
      <c r="G524" s="110">
        <v>0.23</v>
      </c>
      <c r="H524" s="110">
        <v>0.23</v>
      </c>
      <c r="I524" s="110">
        <v>0.23</v>
      </c>
      <c r="J524" s="110">
        <v>0.23</v>
      </c>
      <c r="K524" s="110">
        <v>0.23</v>
      </c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</row>
    <row r="525" spans="1:24">
      <c r="A525" s="33"/>
      <c r="B525" s="8">
        <v>2014</v>
      </c>
      <c r="C525" s="113">
        <v>0</v>
      </c>
      <c r="D525" s="110">
        <v>0.22</v>
      </c>
      <c r="E525" s="110">
        <v>0.22</v>
      </c>
      <c r="F525" s="110">
        <v>0.22</v>
      </c>
      <c r="G525" s="110">
        <v>0.22</v>
      </c>
      <c r="H525" s="110">
        <v>0.22</v>
      </c>
      <c r="I525" s="110">
        <v>0.22</v>
      </c>
      <c r="J525" s="110">
        <v>0.22</v>
      </c>
      <c r="K525" s="110">
        <v>0.22</v>
      </c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</row>
    <row r="526" spans="1:24">
      <c r="A526" s="33"/>
      <c r="B526" s="8">
        <v>2015</v>
      </c>
      <c r="C526" s="113">
        <v>0</v>
      </c>
      <c r="D526" s="110">
        <v>0.21</v>
      </c>
      <c r="E526" s="110">
        <v>0.21</v>
      </c>
      <c r="F526" s="110">
        <v>0.21</v>
      </c>
      <c r="G526" s="110">
        <v>0.21</v>
      </c>
      <c r="H526" s="110">
        <v>0.21</v>
      </c>
      <c r="I526" s="110">
        <v>0.21</v>
      </c>
      <c r="J526" s="110">
        <v>0.21</v>
      </c>
      <c r="K526" s="110">
        <v>0.21</v>
      </c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</row>
    <row r="527" spans="1:24">
      <c r="A527" s="33"/>
      <c r="B527" s="8">
        <v>2016</v>
      </c>
      <c r="C527" s="113">
        <v>0</v>
      </c>
      <c r="D527" s="110">
        <v>0.2</v>
      </c>
      <c r="E527" s="110">
        <v>0.2</v>
      </c>
      <c r="F527" s="110">
        <v>0.2</v>
      </c>
      <c r="G527" s="110">
        <v>0.2</v>
      </c>
      <c r="H527" s="110">
        <v>0.2</v>
      </c>
      <c r="I527" s="110">
        <v>0.2</v>
      </c>
      <c r="J527" s="110">
        <v>0.2</v>
      </c>
      <c r="K527" s="110">
        <v>0.2</v>
      </c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</row>
    <row r="528" spans="1:24">
      <c r="A528" s="33"/>
      <c r="B528" s="127" t="s">
        <v>163</v>
      </c>
      <c r="C528" s="360" t="s">
        <v>136</v>
      </c>
      <c r="D528" s="110">
        <v>0.19</v>
      </c>
      <c r="E528" s="110">
        <v>0.19</v>
      </c>
      <c r="F528" s="110">
        <v>0.19</v>
      </c>
      <c r="G528" s="110">
        <v>0.19</v>
      </c>
      <c r="H528" s="110">
        <v>0.19</v>
      </c>
      <c r="I528" s="110">
        <v>0.19</v>
      </c>
      <c r="J528" s="110">
        <v>0.19</v>
      </c>
      <c r="K528" s="110">
        <v>0.19</v>
      </c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</row>
    <row r="529" spans="1:24">
      <c r="A529" s="33"/>
      <c r="B529" s="8">
        <v>2002</v>
      </c>
      <c r="C529" s="113">
        <v>3.71</v>
      </c>
      <c r="D529" s="110">
        <v>0.18</v>
      </c>
      <c r="E529" s="110">
        <v>0.18</v>
      </c>
      <c r="F529" s="110">
        <v>0.18</v>
      </c>
      <c r="G529" s="110">
        <v>0.18</v>
      </c>
      <c r="H529" s="110">
        <v>0.18</v>
      </c>
      <c r="I529" s="110">
        <v>0.18</v>
      </c>
      <c r="J529" s="110">
        <v>0.18</v>
      </c>
      <c r="K529" s="110">
        <v>0.18</v>
      </c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</row>
    <row r="530" spans="1:24">
      <c r="A530" s="33"/>
      <c r="B530" s="8">
        <v>2003</v>
      </c>
      <c r="C530" s="113">
        <v>3.61</v>
      </c>
      <c r="D530" s="110">
        <v>0.17</v>
      </c>
      <c r="E530" s="110">
        <v>0.17</v>
      </c>
      <c r="F530" s="110">
        <v>0.17</v>
      </c>
      <c r="G530" s="110">
        <v>0.17</v>
      </c>
      <c r="H530" s="110">
        <v>0.17</v>
      </c>
      <c r="I530" s="110">
        <v>0.17</v>
      </c>
      <c r="J530" s="110">
        <v>0.17</v>
      </c>
      <c r="K530" s="110">
        <v>0.17</v>
      </c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</row>
    <row r="531" spans="1:24">
      <c r="A531" s="33"/>
      <c r="B531" s="8">
        <v>2004</v>
      </c>
      <c r="C531" s="113">
        <v>3.59</v>
      </c>
      <c r="D531" s="110">
        <v>0.16</v>
      </c>
      <c r="E531" s="110">
        <v>0.16</v>
      </c>
      <c r="F531" s="110">
        <v>0.16</v>
      </c>
      <c r="G531" s="110">
        <v>0.16</v>
      </c>
      <c r="H531" s="110">
        <v>0.16</v>
      </c>
      <c r="I531" s="110">
        <v>0.16</v>
      </c>
      <c r="J531" s="110">
        <v>0.16</v>
      </c>
      <c r="K531" s="110">
        <v>0.16</v>
      </c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</row>
    <row r="532" spans="1:24">
      <c r="A532" s="33"/>
      <c r="B532" s="8">
        <v>2005</v>
      </c>
      <c r="C532" s="113">
        <v>3.62</v>
      </c>
      <c r="D532" s="110">
        <v>0.15</v>
      </c>
      <c r="E532" s="110">
        <v>0.15</v>
      </c>
      <c r="F532" s="110">
        <v>0.15</v>
      </c>
      <c r="G532" s="110">
        <v>0.15</v>
      </c>
      <c r="H532" s="110">
        <v>0.15</v>
      </c>
      <c r="I532" s="110">
        <v>0.15</v>
      </c>
      <c r="J532" s="110">
        <v>0.15</v>
      </c>
      <c r="K532" s="110">
        <v>0.15</v>
      </c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</row>
    <row r="533" spans="1:24">
      <c r="A533" s="33"/>
      <c r="B533" s="8">
        <v>2006</v>
      </c>
      <c r="C533" s="113">
        <v>3.55</v>
      </c>
      <c r="D533" s="110">
        <v>0.14000000000000001</v>
      </c>
      <c r="E533" s="110">
        <v>0.14000000000000001</v>
      </c>
      <c r="F533" s="110">
        <v>0.14000000000000001</v>
      </c>
      <c r="G533" s="110">
        <v>0.14000000000000001</v>
      </c>
      <c r="H533" s="110">
        <v>0.14000000000000001</v>
      </c>
      <c r="I533" s="110">
        <v>0.14000000000000001</v>
      </c>
      <c r="J533" s="110">
        <v>0.14000000000000001</v>
      </c>
      <c r="K533" s="110">
        <v>0.14000000000000001</v>
      </c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</row>
    <row r="534" spans="1:24">
      <c r="A534" s="33"/>
      <c r="B534" s="8">
        <v>2007</v>
      </c>
      <c r="C534" s="113">
        <v>0</v>
      </c>
      <c r="D534" s="110">
        <v>0.13</v>
      </c>
      <c r="E534" s="110">
        <v>0.13</v>
      </c>
      <c r="F534" s="110">
        <v>0.13</v>
      </c>
      <c r="G534" s="110">
        <v>0.13</v>
      </c>
      <c r="H534" s="110">
        <v>0.13</v>
      </c>
      <c r="I534" s="110">
        <v>0.13</v>
      </c>
      <c r="J534" s="110">
        <v>0.13</v>
      </c>
      <c r="K534" s="110">
        <v>0.13</v>
      </c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</row>
    <row r="535" spans="1:24">
      <c r="A535" s="33"/>
      <c r="B535" s="8">
        <v>2008</v>
      </c>
      <c r="C535" s="113">
        <v>0</v>
      </c>
      <c r="D535" s="110">
        <v>0.12</v>
      </c>
      <c r="E535" s="110">
        <v>0.12</v>
      </c>
      <c r="F535" s="110">
        <v>0.12</v>
      </c>
      <c r="G535" s="110">
        <v>0.12</v>
      </c>
      <c r="H535" s="110">
        <v>0.12</v>
      </c>
      <c r="I535" s="110">
        <v>0.12</v>
      </c>
      <c r="J535" s="110">
        <v>0.12</v>
      </c>
      <c r="K535" s="110">
        <v>0.12</v>
      </c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</row>
    <row r="536" spans="1:24">
      <c r="A536" s="33"/>
      <c r="B536" s="8">
        <v>2009</v>
      </c>
      <c r="C536" s="113">
        <v>0</v>
      </c>
      <c r="D536" s="110">
        <v>0.11</v>
      </c>
      <c r="E536" s="110">
        <v>0.11</v>
      </c>
      <c r="F536" s="110">
        <v>0.11</v>
      </c>
      <c r="G536" s="110">
        <v>0.11</v>
      </c>
      <c r="H536" s="110">
        <v>0.11</v>
      </c>
      <c r="I536" s="110">
        <v>0.11</v>
      </c>
      <c r="J536" s="110">
        <v>0.11</v>
      </c>
      <c r="K536" s="110">
        <v>0.11</v>
      </c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</row>
    <row r="537" spans="1:24">
      <c r="A537" s="33"/>
      <c r="B537" s="8">
        <v>2010</v>
      </c>
      <c r="C537" s="113">
        <v>0</v>
      </c>
      <c r="D537" s="110">
        <v>0.1</v>
      </c>
      <c r="E537" s="110">
        <v>0.1</v>
      </c>
      <c r="F537" s="110">
        <v>0.1</v>
      </c>
      <c r="G537" s="110">
        <v>0.1</v>
      </c>
      <c r="H537" s="110">
        <v>0.1</v>
      </c>
      <c r="I537" s="110">
        <v>0.1</v>
      </c>
      <c r="J537" s="110">
        <v>0.1</v>
      </c>
      <c r="K537" s="110">
        <v>0.1</v>
      </c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</row>
    <row r="538" spans="1:24">
      <c r="A538" s="33"/>
      <c r="B538" s="8">
        <v>2011</v>
      </c>
      <c r="C538" s="113">
        <v>0</v>
      </c>
      <c r="D538" s="110">
        <v>0.09</v>
      </c>
      <c r="E538" s="110">
        <v>0.09</v>
      </c>
      <c r="F538" s="110">
        <v>0.09</v>
      </c>
      <c r="G538" s="110">
        <v>0.09</v>
      </c>
      <c r="H538" s="110">
        <v>0.09</v>
      </c>
      <c r="I538" s="110">
        <v>0.09</v>
      </c>
      <c r="J538" s="110">
        <v>0.09</v>
      </c>
      <c r="K538" s="110">
        <v>0.09</v>
      </c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</row>
    <row r="539" spans="1:24">
      <c r="A539" s="33"/>
      <c r="B539" s="8">
        <v>2012</v>
      </c>
      <c r="C539" s="113">
        <v>0</v>
      </c>
      <c r="D539" s="110">
        <v>0.08</v>
      </c>
      <c r="E539" s="110">
        <v>0.08</v>
      </c>
      <c r="F539" s="110">
        <v>0.08</v>
      </c>
      <c r="G539" s="110">
        <v>0.08</v>
      </c>
      <c r="H539" s="110">
        <v>0.08</v>
      </c>
      <c r="I539" s="110">
        <v>0.08</v>
      </c>
      <c r="J539" s="110">
        <v>0.08</v>
      </c>
      <c r="K539" s="110">
        <v>0.08</v>
      </c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</row>
    <row r="540" spans="1:24">
      <c r="A540" s="33"/>
      <c r="B540" s="8">
        <v>2013</v>
      </c>
      <c r="C540" s="113">
        <v>0</v>
      </c>
      <c r="D540" s="110">
        <v>7.0000000000000007E-2</v>
      </c>
      <c r="E540" s="110">
        <v>7.0000000000000007E-2</v>
      </c>
      <c r="F540" s="110">
        <v>7.0000000000000007E-2</v>
      </c>
      <c r="G540" s="110">
        <v>7.0000000000000007E-2</v>
      </c>
      <c r="H540" s="110">
        <v>7.0000000000000007E-2</v>
      </c>
      <c r="I540" s="110">
        <v>7.0000000000000007E-2</v>
      </c>
      <c r="J540" s="110">
        <v>7.0000000000000007E-2</v>
      </c>
      <c r="K540" s="110">
        <v>7.0000000000000007E-2</v>
      </c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</row>
    <row r="541" spans="1:24">
      <c r="A541" s="33"/>
      <c r="B541" s="8">
        <v>2014</v>
      </c>
      <c r="C541" s="113">
        <v>0</v>
      </c>
      <c r="D541" s="110">
        <v>0.06</v>
      </c>
      <c r="E541" s="110">
        <v>0.06</v>
      </c>
      <c r="F541" s="110">
        <v>0.06</v>
      </c>
      <c r="G541" s="110">
        <v>0.06</v>
      </c>
      <c r="H541" s="110">
        <v>0.06</v>
      </c>
      <c r="I541" s="110">
        <v>0.06</v>
      </c>
      <c r="J541" s="110">
        <v>0.06</v>
      </c>
      <c r="K541" s="110">
        <v>0.06</v>
      </c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</row>
    <row r="542" spans="1:24">
      <c r="A542" s="33"/>
      <c r="B542" s="8">
        <v>2015</v>
      </c>
      <c r="C542" s="113">
        <v>0</v>
      </c>
      <c r="D542" s="110">
        <v>0.05</v>
      </c>
      <c r="E542" s="110">
        <v>0.05</v>
      </c>
      <c r="F542" s="110">
        <v>0.05</v>
      </c>
      <c r="G542" s="110">
        <v>0.05</v>
      </c>
      <c r="H542" s="110">
        <v>0.05</v>
      </c>
      <c r="I542" s="110">
        <v>0.05</v>
      </c>
      <c r="J542" s="110">
        <v>0.05</v>
      </c>
      <c r="K542" s="110">
        <v>0.05</v>
      </c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</row>
    <row r="543" spans="1:24">
      <c r="A543" s="33"/>
      <c r="B543" s="8">
        <v>2016</v>
      </c>
      <c r="C543" s="113">
        <v>0</v>
      </c>
      <c r="D543" s="110">
        <v>0</v>
      </c>
      <c r="E543" s="110">
        <v>0</v>
      </c>
      <c r="F543" s="110">
        <v>0</v>
      </c>
      <c r="G543" s="110">
        <v>0</v>
      </c>
      <c r="H543" s="110">
        <v>0</v>
      </c>
      <c r="I543" s="110">
        <v>0</v>
      </c>
      <c r="J543" s="110">
        <v>0</v>
      </c>
      <c r="K543" s="110">
        <v>0</v>
      </c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</row>
    <row r="544" spans="1:24" ht="24">
      <c r="A544" s="33"/>
      <c r="B544" s="127" t="s">
        <v>163</v>
      </c>
      <c r="C544" s="397" t="s">
        <v>137</v>
      </c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</row>
    <row r="545" spans="1:24">
      <c r="A545" s="33"/>
      <c r="B545" s="8">
        <v>2002</v>
      </c>
      <c r="C545" s="113">
        <v>0</v>
      </c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</row>
    <row r="546" spans="1:24">
      <c r="A546" s="33"/>
      <c r="B546" s="8">
        <v>2003</v>
      </c>
      <c r="C546" s="113">
        <v>0</v>
      </c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</row>
    <row r="547" spans="1:24">
      <c r="A547" s="33"/>
      <c r="B547" s="8">
        <v>2004</v>
      </c>
      <c r="C547" s="113">
        <v>0</v>
      </c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</row>
    <row r="548" spans="1:24">
      <c r="A548" s="33"/>
      <c r="B548" s="8">
        <v>2005</v>
      </c>
      <c r="C548" s="113">
        <v>0</v>
      </c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</row>
    <row r="549" spans="1:24">
      <c r="A549" s="33"/>
      <c r="B549" s="8">
        <v>2006</v>
      </c>
      <c r="C549" s="113">
        <v>0</v>
      </c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</row>
    <row r="550" spans="1:24">
      <c r="A550" s="33"/>
      <c r="B550" s="8">
        <v>2007</v>
      </c>
      <c r="C550" s="113">
        <v>0</v>
      </c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</row>
    <row r="551" spans="1:24">
      <c r="A551" s="33"/>
      <c r="B551" s="8">
        <v>2008</v>
      </c>
      <c r="C551" s="113">
        <v>1685.14</v>
      </c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</row>
    <row r="552" spans="1:24">
      <c r="A552" s="33"/>
      <c r="B552" s="8">
        <v>2009</v>
      </c>
      <c r="C552" s="113">
        <v>384.52</v>
      </c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</row>
    <row r="553" spans="1:24">
      <c r="A553" s="33"/>
      <c r="B553" s="8">
        <v>2010</v>
      </c>
      <c r="C553" s="113">
        <v>54.8</v>
      </c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</row>
    <row r="554" spans="1:24">
      <c r="A554" s="33"/>
      <c r="B554" s="8">
        <v>2011</v>
      </c>
      <c r="C554" s="113">
        <v>204.16</v>
      </c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</row>
    <row r="555" spans="1:24">
      <c r="A555" s="33"/>
      <c r="B555" s="8">
        <v>2012</v>
      </c>
      <c r="C555" s="113">
        <v>0</v>
      </c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</row>
    <row r="556" spans="1:24">
      <c r="A556" s="33"/>
      <c r="B556" s="8">
        <v>2013</v>
      </c>
      <c r="C556" s="113">
        <v>0</v>
      </c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</row>
    <row r="557" spans="1:24">
      <c r="A557" s="33"/>
      <c r="B557" s="8">
        <v>2014</v>
      </c>
      <c r="C557" s="113">
        <v>0</v>
      </c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</row>
    <row r="558" spans="1:24">
      <c r="A558" s="33"/>
      <c r="B558" s="8">
        <v>2015</v>
      </c>
      <c r="C558" s="113">
        <v>0</v>
      </c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</row>
    <row r="559" spans="1:24">
      <c r="A559" s="33"/>
      <c r="B559" s="8">
        <v>2016</v>
      </c>
      <c r="C559" s="113">
        <v>0</v>
      </c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</row>
    <row r="560" spans="1:24" ht="22.5">
      <c r="B560" s="398" t="s">
        <v>217</v>
      </c>
      <c r="C560" s="398" t="s">
        <v>218</v>
      </c>
    </row>
    <row r="561" spans="2:3" ht="11.25">
      <c r="B561" s="398" t="s">
        <v>216</v>
      </c>
      <c r="C561" s="399">
        <f>101/202</f>
        <v>0.5</v>
      </c>
    </row>
    <row r="562" spans="2:3" ht="11.25">
      <c r="B562" s="398" t="s">
        <v>219</v>
      </c>
      <c r="C562" s="399" t="s">
        <v>216</v>
      </c>
    </row>
    <row r="563" spans="2:3" ht="22.5">
      <c r="B563" s="398" t="s">
        <v>220</v>
      </c>
      <c r="C563" s="398" t="s">
        <v>221</v>
      </c>
    </row>
    <row r="564" spans="2:3" ht="11.25">
      <c r="B564" s="398" t="s">
        <v>216</v>
      </c>
      <c r="C564" s="399">
        <f>69/138</f>
        <v>0.5</v>
      </c>
    </row>
    <row r="565" spans="2:3" ht="11.25">
      <c r="B565" s="398" t="s">
        <v>219</v>
      </c>
      <c r="C565" s="399" t="s">
        <v>216</v>
      </c>
    </row>
    <row r="566" spans="2:3" ht="22.5">
      <c r="B566" s="398" t="s">
        <v>220</v>
      </c>
      <c r="C566" s="398" t="s">
        <v>222</v>
      </c>
    </row>
    <row r="567" spans="2:3" ht="11.25">
      <c r="B567" s="398" t="s">
        <v>216</v>
      </c>
      <c r="C567" s="399">
        <f>69/138</f>
        <v>0.5</v>
      </c>
    </row>
    <row r="568" spans="2:3" ht="11.25">
      <c r="B568" s="398" t="s">
        <v>219</v>
      </c>
      <c r="C568" s="399" t="s">
        <v>216</v>
      </c>
    </row>
    <row r="570" spans="2:3" ht="11.25">
      <c r="B570" s="398">
        <v>12</v>
      </c>
      <c r="C570" s="398">
        <v>60</v>
      </c>
    </row>
    <row r="571" spans="2:3" ht="11.25">
      <c r="B571" s="398">
        <f>C571*B570/C570</f>
        <v>10</v>
      </c>
      <c r="C571" s="398">
        <v>50</v>
      </c>
    </row>
  </sheetData>
  <mergeCells count="1">
    <mergeCell ref="B139:B142"/>
  </mergeCells>
  <conditionalFormatting sqref="D264:U269">
    <cfRule type="cellIs" dxfId="41" priority="93" operator="greaterThan">
      <formula>0.001</formula>
    </cfRule>
  </conditionalFormatting>
  <conditionalFormatting sqref="L195:M199 E186 D186:D192 F186:H189 J186:M189 J197:J199 U186:U189 I186 U191:U199 J191:M192 F191:H192 F190:M190 T192 H195:H199 O190:U190 O191:S192 O186:S189 O195:S199">
    <cfRule type="cellIs" dxfId="40" priority="92" operator="greaterThan">
      <formula>0</formula>
    </cfRule>
  </conditionalFormatting>
  <conditionalFormatting sqref="E193:E199">
    <cfRule type="cellIs" dxfId="39" priority="89" operator="greaterThan">
      <formula>0</formula>
    </cfRule>
  </conditionalFormatting>
  <conditionalFormatting sqref="D223:M229 O223:U229 D230:U236">
    <cfRule type="cellIs" dxfId="38" priority="84" operator="greaterThan">
      <formula>0</formula>
    </cfRule>
  </conditionalFormatting>
  <conditionalFormatting sqref="D237:U243">
    <cfRule type="cellIs" dxfId="37" priority="79" operator="greaterThan">
      <formula>0</formula>
    </cfRule>
  </conditionalFormatting>
  <conditionalFormatting sqref="E188:E192">
    <cfRule type="cellIs" dxfId="36" priority="76" operator="greaterThan">
      <formula>0</formula>
    </cfRule>
  </conditionalFormatting>
  <conditionalFormatting sqref="E187">
    <cfRule type="cellIs" dxfId="35" priority="70" operator="greaterThan">
      <formula>0</formula>
    </cfRule>
  </conditionalFormatting>
  <conditionalFormatting sqref="I195:I199 I188:I189 I191:I192">
    <cfRule type="cellIs" dxfId="34" priority="65" operator="greaterThan">
      <formula>0</formula>
    </cfRule>
  </conditionalFormatting>
  <conditionalFormatting sqref="T195:T199 T186:T189 T191">
    <cfRule type="cellIs" dxfId="33" priority="58" operator="greaterThan">
      <formula>0</formula>
    </cfRule>
  </conditionalFormatting>
  <conditionalFormatting sqref="I187">
    <cfRule type="cellIs" dxfId="32" priority="52" operator="greaterThan">
      <formula>0</formula>
    </cfRule>
  </conditionalFormatting>
  <conditionalFormatting sqref="E202 D202:D208 F202:H205 J202:M205 U202:U205 I202 U207:U208 J207:M208 F207:H208 F206:M206 T208 O206:U206 O207:S208 O202:S205">
    <cfRule type="cellIs" dxfId="31" priority="51" operator="greaterThan">
      <formula>0</formula>
    </cfRule>
  </conditionalFormatting>
  <conditionalFormatting sqref="E204:E208">
    <cfRule type="cellIs" dxfId="30" priority="50" operator="greaterThan">
      <formula>0</formula>
    </cfRule>
  </conditionalFormatting>
  <conditionalFormatting sqref="E203">
    <cfRule type="cellIs" dxfId="29" priority="49" operator="greaterThan">
      <formula>0</formula>
    </cfRule>
  </conditionalFormatting>
  <conditionalFormatting sqref="I204:I205 I207:I208">
    <cfRule type="cellIs" dxfId="28" priority="48" operator="greaterThan">
      <formula>0</formula>
    </cfRule>
  </conditionalFormatting>
  <conditionalFormatting sqref="T202:T205 T207">
    <cfRule type="cellIs" dxfId="27" priority="47" operator="greaterThan">
      <formula>0</formula>
    </cfRule>
  </conditionalFormatting>
  <conditionalFormatting sqref="I203">
    <cfRule type="cellIs" dxfId="26" priority="46" operator="greaterThan">
      <formula>0</formula>
    </cfRule>
  </conditionalFormatting>
  <conditionalFormatting sqref="E209 D209:D215 F209:H212 J209:M212 U209:U212 I209 U214:U215 J214:M215 F214:H215 F213:M213 T215 O213:U213 O214:S215 O209:S212">
    <cfRule type="cellIs" dxfId="25" priority="45" operator="greaterThan">
      <formula>0</formula>
    </cfRule>
  </conditionalFormatting>
  <conditionalFormatting sqref="E211:E215">
    <cfRule type="cellIs" dxfId="24" priority="44" operator="greaterThan">
      <formula>0</formula>
    </cfRule>
  </conditionalFormatting>
  <conditionalFormatting sqref="E210">
    <cfRule type="cellIs" dxfId="23" priority="43" operator="greaterThan">
      <formula>0</formula>
    </cfRule>
  </conditionalFormatting>
  <conditionalFormatting sqref="I211:I212 I214:I215">
    <cfRule type="cellIs" dxfId="22" priority="42" operator="greaterThan">
      <formula>0</formula>
    </cfRule>
  </conditionalFormatting>
  <conditionalFormatting sqref="T209:T212 T214">
    <cfRule type="cellIs" dxfId="21" priority="41" operator="greaterThan">
      <formula>0</formula>
    </cfRule>
  </conditionalFormatting>
  <conditionalFormatting sqref="I210">
    <cfRule type="cellIs" dxfId="20" priority="40" operator="greaterThan">
      <formula>0</formula>
    </cfRule>
  </conditionalFormatting>
  <conditionalFormatting sqref="E216 D216:D222 F216:H219 J216:M219 U216:U219 I216 U221:U222 J221:M222 F221:H222 F220:M220 T222 O220:U220 O221:S222 O216:S219">
    <cfRule type="cellIs" dxfId="19" priority="25" operator="greaterThan">
      <formula>0</formula>
    </cfRule>
  </conditionalFormatting>
  <conditionalFormatting sqref="E218:E222">
    <cfRule type="cellIs" dxfId="18" priority="24" operator="greaterThan">
      <formula>0</formula>
    </cfRule>
  </conditionalFormatting>
  <conditionalFormatting sqref="E217">
    <cfRule type="cellIs" dxfId="17" priority="23" operator="greaterThan">
      <formula>0</formula>
    </cfRule>
  </conditionalFormatting>
  <conditionalFormatting sqref="I218:I219 I221:I222">
    <cfRule type="cellIs" dxfId="16" priority="22" operator="greaterThan">
      <formula>0</formula>
    </cfRule>
  </conditionalFormatting>
  <conditionalFormatting sqref="T216:T219 T221">
    <cfRule type="cellIs" dxfId="15" priority="21" operator="greaterThan">
      <formula>0</formula>
    </cfRule>
  </conditionalFormatting>
  <conditionalFormatting sqref="I217">
    <cfRule type="cellIs" dxfId="14" priority="20" operator="greaterThan">
      <formula>0</formula>
    </cfRule>
  </conditionalFormatting>
  <conditionalFormatting sqref="N195:N199">
    <cfRule type="cellIs" dxfId="13" priority="18" operator="greaterThan">
      <formula>0</formula>
    </cfRule>
  </conditionalFormatting>
  <conditionalFormatting sqref="N223:N229">
    <cfRule type="cellIs" dxfId="12" priority="17" operator="greaterThan">
      <formula>0</formula>
    </cfRule>
  </conditionalFormatting>
  <conditionalFormatting sqref="N186">
    <cfRule type="cellIs" dxfId="11" priority="12" operator="greaterThan">
      <formula>0</formula>
    </cfRule>
  </conditionalFormatting>
  <conditionalFormatting sqref="N188:N192">
    <cfRule type="cellIs" dxfId="10" priority="11" operator="greaterThan">
      <formula>0</formula>
    </cfRule>
  </conditionalFormatting>
  <conditionalFormatting sqref="N187">
    <cfRule type="cellIs" dxfId="9" priority="10" operator="greaterThan">
      <formula>0</formula>
    </cfRule>
  </conditionalFormatting>
  <conditionalFormatting sqref="N202">
    <cfRule type="cellIs" dxfId="8" priority="9" operator="greaterThan">
      <formula>0</formula>
    </cfRule>
  </conditionalFormatting>
  <conditionalFormatting sqref="N204:N208">
    <cfRule type="cellIs" dxfId="7" priority="8" operator="greaterThan">
      <formula>0</formula>
    </cfRule>
  </conditionalFormatting>
  <conditionalFormatting sqref="N203">
    <cfRule type="cellIs" dxfId="6" priority="7" operator="greaterThan">
      <formula>0</formula>
    </cfRule>
  </conditionalFormatting>
  <conditionalFormatting sqref="N209">
    <cfRule type="cellIs" dxfId="5" priority="6" operator="greaterThan">
      <formula>0</formula>
    </cfRule>
  </conditionalFormatting>
  <conditionalFormatting sqref="N211:N215">
    <cfRule type="cellIs" dxfId="4" priority="5" operator="greaterThan">
      <formula>0</formula>
    </cfRule>
  </conditionalFormatting>
  <conditionalFormatting sqref="N210">
    <cfRule type="cellIs" dxfId="3" priority="4" operator="greaterThan">
      <formula>0</formula>
    </cfRule>
  </conditionalFormatting>
  <conditionalFormatting sqref="N216">
    <cfRule type="cellIs" dxfId="2" priority="3" operator="greaterThan">
      <formula>0</formula>
    </cfRule>
  </conditionalFormatting>
  <conditionalFormatting sqref="N218:N222">
    <cfRule type="cellIs" dxfId="1" priority="2" operator="greaterThan">
      <formula>0</formula>
    </cfRule>
  </conditionalFormatting>
  <conditionalFormatting sqref="N217">
    <cfRule type="cellIs" dxfId="0" priority="1" operator="greaterThan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sygrish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2017-06-09T08:28:17Z</cp:lastPrinted>
  <dcterms:created xsi:type="dcterms:W3CDTF">2006-04-10T10:18:01Z</dcterms:created>
  <dcterms:modified xsi:type="dcterms:W3CDTF">2019-01-04T18:58:14Z</dcterms:modified>
</cp:coreProperties>
</file>