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ousvoukisi\OneDrive\19.XLS_Sheets\"/>
    </mc:Choice>
  </mc:AlternateContent>
  <bookViews>
    <workbookView xWindow="0" yWindow="0" windowWidth="23010" windowHeight="10245"/>
  </bookViews>
  <sheets>
    <sheet name="EC8-GR" sheetId="1" r:id="rId1"/>
    <sheet name="DATA" sheetId="2" r:id="rId2"/>
    <sheet name="OUTPUT" sheetId="3" r:id="rId3"/>
    <sheet name="ri" sheetId="4" r:id="rId4"/>
  </sheets>
  <definedNames>
    <definedName name="agDL">'EC8-GR'!$D$15</definedName>
    <definedName name="agR">'EC8-GR'!$D$13</definedName>
    <definedName name="avg">'EC8-GR'!$D$17</definedName>
    <definedName name="cc" comment="Συντελεστής δυσκαμψίας">ri!$B$4</definedName>
    <definedName name="fck">ri!$B$7</definedName>
    <definedName name="g">'EC8-GR'!$D$2</definedName>
    <definedName name="Gc">ri!$B$6</definedName>
    <definedName name="Hi">ri!$B$2</definedName>
    <definedName name="Hs">ri!$B$2</definedName>
    <definedName name="n">'EC8-GR'!$D$19</definedName>
    <definedName name="q">'EC8-GR'!$D$9</definedName>
    <definedName name="q_v">'EC8-GR'!$D$10</definedName>
    <definedName name="S">'EC8-GR'!$D$20</definedName>
    <definedName name="solver_adj" localSheetId="3" hidden="1">ri!$E$4:$F$10</definedName>
    <definedName name="solver_cvg" localSheetId="3" hidden="1">0.0001</definedName>
    <definedName name="solver_drv" localSheetId="3" hidden="1">1</definedName>
    <definedName name="solver_est" localSheetId="3" hidden="1">1</definedName>
    <definedName name="solver_itr" localSheetId="3" hidden="1">100</definedName>
    <definedName name="solver_lhs1" localSheetId="3" hidden="1">ri!$E$4</definedName>
    <definedName name="solver_lhs10" localSheetId="3" hidden="1">ri!$F$6</definedName>
    <definedName name="solver_lhs11" localSheetId="3" hidden="1">ri!$F$7</definedName>
    <definedName name="solver_lhs12" localSheetId="3" hidden="1">ri!$F$8</definedName>
    <definedName name="solver_lhs13" localSheetId="3" hidden="1">ri!$F$9</definedName>
    <definedName name="solver_lhs14" localSheetId="3" hidden="1">ri!$F$10</definedName>
    <definedName name="solver_lhs15" localSheetId="3" hidden="1">ri!$E$4:$F$10</definedName>
    <definedName name="solver_lhs2" localSheetId="3" hidden="1">ri!$E$5</definedName>
    <definedName name="solver_lhs3" localSheetId="3" hidden="1">ri!$E$6</definedName>
    <definedName name="solver_lhs4" localSheetId="3" hidden="1">ri!$E$7</definedName>
    <definedName name="solver_lhs5" localSheetId="3" hidden="1">ri!$E$8</definedName>
    <definedName name="solver_lhs6" localSheetId="3" hidden="1">ri!$E$9</definedName>
    <definedName name="solver_lhs7" localSheetId="3" hidden="1">ri!$E$10</definedName>
    <definedName name="solver_lhs8" localSheetId="3" hidden="1">ri!$F$4</definedName>
    <definedName name="solver_lhs9" localSheetId="3" hidden="1">ri!$F$5</definedName>
    <definedName name="solver_lin" localSheetId="3" hidden="1">2</definedName>
    <definedName name="solver_neg" localSheetId="3" hidden="1">2</definedName>
    <definedName name="solver_num" localSheetId="3" hidden="1">15</definedName>
    <definedName name="solver_nwt" localSheetId="3" hidden="1">1</definedName>
    <definedName name="solver_opt" localSheetId="3" hidden="1">ri!$W$22</definedName>
    <definedName name="solver_pre" localSheetId="3" hidden="1">0.000001</definedName>
    <definedName name="solver_rel1" localSheetId="3" hidden="1">1</definedName>
    <definedName name="solver_rel10" localSheetId="3" hidden="1">1</definedName>
    <definedName name="solver_rel11" localSheetId="3" hidden="1">1</definedName>
    <definedName name="solver_rel12" localSheetId="3" hidden="1">1</definedName>
    <definedName name="solver_rel13" localSheetId="3" hidden="1">1</definedName>
    <definedName name="solver_rel14" localSheetId="3" hidden="1">1</definedName>
    <definedName name="solver_rel15" localSheetId="3" hidden="1">3</definedName>
    <definedName name="solver_rel2" localSheetId="3" hidden="1">1</definedName>
    <definedName name="solver_rel3" localSheetId="3" hidden="1">1</definedName>
    <definedName name="solver_rel4" localSheetId="3" hidden="1">1</definedName>
    <definedName name="solver_rel5" localSheetId="3" hidden="1">1</definedName>
    <definedName name="solver_rel6" localSheetId="3" hidden="1">1</definedName>
    <definedName name="solver_rel7" localSheetId="3" hidden="1">1</definedName>
    <definedName name="solver_rel8" localSheetId="3" hidden="1">1</definedName>
    <definedName name="solver_rel9" localSheetId="3" hidden="1">1</definedName>
    <definedName name="solver_rhs1" localSheetId="3" hidden="1">ri!$AB$4</definedName>
    <definedName name="solver_rhs10" localSheetId="3" hidden="1">ri!$AA$6</definedName>
    <definedName name="solver_rhs11" localSheetId="3" hidden="1">ri!$AA$7</definedName>
    <definedName name="solver_rhs12" localSheetId="3" hidden="1">ri!$AA$8</definedName>
    <definedName name="solver_rhs13" localSheetId="3" hidden="1">ri!$AA$9</definedName>
    <definedName name="solver_rhs14" localSheetId="3" hidden="1">ri!$AA$10</definedName>
    <definedName name="solver_rhs15" localSheetId="3" hidden="1">ri!$AB$4:$AC$10</definedName>
    <definedName name="solver_rhs2" localSheetId="3" hidden="1">ri!$Z$5</definedName>
    <definedName name="solver_rhs3" localSheetId="3" hidden="1">ri!$Z$6</definedName>
    <definedName name="solver_rhs4" localSheetId="3" hidden="1">ri!$Z$7</definedName>
    <definedName name="solver_rhs5" localSheetId="3" hidden="1">ri!$Z$8</definedName>
    <definedName name="solver_rhs6" localSheetId="3" hidden="1">ri!$Z$9</definedName>
    <definedName name="solver_rhs7" localSheetId="3" hidden="1">ri!$Z$10</definedName>
    <definedName name="solver_rhs8" localSheetId="3" hidden="1">ri!$AA$4</definedName>
    <definedName name="solver_rhs9" localSheetId="3" hidden="1">ri!$AA$5</definedName>
    <definedName name="solver_scl" localSheetId="3" hidden="1">2</definedName>
    <definedName name="solver_sho" localSheetId="3" hidden="1">2</definedName>
    <definedName name="solver_tim" localSheetId="3" hidden="1">100</definedName>
    <definedName name="solver_tol" localSheetId="3" hidden="1">0.05</definedName>
    <definedName name="solver_typ" localSheetId="3" hidden="1">2</definedName>
    <definedName name="solver_val" localSheetId="3" hidden="1">0</definedName>
    <definedName name="T">'EC8-GR'!$D$25</definedName>
    <definedName name="TB">'EC8-GR'!$D$22</definedName>
    <definedName name="TC">'EC8-GR'!$D$23</definedName>
    <definedName name="TD">'EC8-GR'!$D$24</definedName>
    <definedName name="v">'EC8-GR'!$D$12</definedName>
    <definedName name="αgNC">'EC8-GR'!$D$14</definedName>
    <definedName name="β">'EC8-GR'!$D$3</definedName>
    <definedName name="γΙ">'EC8-GR'!$D$11</definedName>
    <definedName name="Εc" comment="Μέτρο ελαστικότητας">ri!$B$3</definedName>
    <definedName name="Ηi" comment="Ύψος ορόφου">ri!$B$2</definedName>
    <definedName name="ν" comment="Λόγος Poisson">ri!$C$5</definedName>
    <definedName name="ξ">'EC8-GR'!$D$18</definedName>
  </definedNames>
  <calcPr calcId="162913"/>
</workbook>
</file>

<file path=xl/calcChain.xml><?xml version="1.0" encoding="utf-8"?>
<calcChain xmlns="http://schemas.openxmlformats.org/spreadsheetml/2006/main">
  <c r="B6" i="4" l="1"/>
  <c r="H5" i="4"/>
  <c r="H6" i="4"/>
  <c r="H7" i="4"/>
  <c r="H8" i="4"/>
  <c r="H9" i="4"/>
  <c r="H10" i="4"/>
  <c r="H4" i="4"/>
  <c r="H19" i="4" s="1"/>
  <c r="AF11" i="4"/>
  <c r="AJ11" i="4" s="1"/>
  <c r="AG11" i="4"/>
  <c r="AH11" i="4"/>
  <c r="AI11" i="4"/>
  <c r="AK11" i="4"/>
  <c r="AL11" i="4"/>
  <c r="AM11" i="4"/>
  <c r="AN11" i="4"/>
  <c r="AO11" i="4"/>
  <c r="AF12" i="4"/>
  <c r="AG12" i="4"/>
  <c r="AH12" i="4"/>
  <c r="AI12" i="4"/>
  <c r="AJ12" i="4"/>
  <c r="AK12" i="4"/>
  <c r="AO12" i="4" s="1"/>
  <c r="AL12" i="4"/>
  <c r="AM12" i="4"/>
  <c r="AN12" i="4"/>
  <c r="AF13" i="4"/>
  <c r="AG13" i="4"/>
  <c r="AH13" i="4"/>
  <c r="AI13" i="4"/>
  <c r="AJ13" i="4"/>
  <c r="AK13" i="4"/>
  <c r="AO13" i="4" s="1"/>
  <c r="AL13" i="4"/>
  <c r="AM13" i="4"/>
  <c r="AN13" i="4"/>
  <c r="AF14" i="4"/>
  <c r="AJ14" i="4" s="1"/>
  <c r="AG14" i="4"/>
  <c r="AH14" i="4"/>
  <c r="AI14" i="4"/>
  <c r="AK14" i="4"/>
  <c r="AL14" i="4"/>
  <c r="AM14" i="4"/>
  <c r="AN14" i="4"/>
  <c r="AO14" i="4"/>
  <c r="AF15" i="4"/>
  <c r="AJ15" i="4" s="1"/>
  <c r="AG15" i="4"/>
  <c r="AH15" i="4"/>
  <c r="AI15" i="4"/>
  <c r="AK15" i="4"/>
  <c r="AL15" i="4"/>
  <c r="AM15" i="4"/>
  <c r="AN15" i="4"/>
  <c r="AO15" i="4"/>
  <c r="AF16" i="4"/>
  <c r="AG16" i="4"/>
  <c r="AH16" i="4"/>
  <c r="AI16" i="4"/>
  <c r="AJ16" i="4"/>
  <c r="AK16" i="4"/>
  <c r="AO16" i="4" s="1"/>
  <c r="AL16" i="4"/>
  <c r="AM16" i="4"/>
  <c r="AN16" i="4"/>
  <c r="AF17" i="4"/>
  <c r="AG17" i="4"/>
  <c r="AH17" i="4"/>
  <c r="AI17" i="4"/>
  <c r="AJ17" i="4"/>
  <c r="AK17" i="4"/>
  <c r="AO17" i="4" s="1"/>
  <c r="AL17" i="4"/>
  <c r="AM17" i="4"/>
  <c r="AN17" i="4"/>
  <c r="AE11" i="4"/>
  <c r="AE12" i="4"/>
  <c r="AE13" i="4"/>
  <c r="AE14" i="4"/>
  <c r="AE15" i="4"/>
  <c r="AE16" i="4"/>
  <c r="AE17" i="4"/>
  <c r="AE4" i="4"/>
  <c r="AE5" i="4"/>
  <c r="AE6" i="4"/>
  <c r="AE7" i="4"/>
  <c r="AE8" i="4"/>
  <c r="AE9" i="4"/>
  <c r="AE10" i="4"/>
  <c r="AE3" i="4"/>
  <c r="AF4" i="4"/>
  <c r="AG4" i="4"/>
  <c r="AH4" i="4"/>
  <c r="AI4" i="4"/>
  <c r="AJ4" i="4"/>
  <c r="AK4" i="4"/>
  <c r="AL4" i="4"/>
  <c r="AM4" i="4"/>
  <c r="AN4" i="4"/>
  <c r="AO4" i="4"/>
  <c r="AF5" i="4"/>
  <c r="AJ5" i="4" s="1"/>
  <c r="AG5" i="4"/>
  <c r="AH5" i="4"/>
  <c r="AI5" i="4"/>
  <c r="AK5" i="4"/>
  <c r="AO5" i="4" s="1"/>
  <c r="AL5" i="4"/>
  <c r="AM5" i="4"/>
  <c r="AN5" i="4"/>
  <c r="AF6" i="4"/>
  <c r="AJ6" i="4" s="1"/>
  <c r="AG6" i="4"/>
  <c r="AH6" i="4"/>
  <c r="AI6" i="4"/>
  <c r="AK6" i="4"/>
  <c r="AO6" i="4" s="1"/>
  <c r="AL6" i="4"/>
  <c r="AM6" i="4"/>
  <c r="AN6" i="4"/>
  <c r="AF7" i="4"/>
  <c r="AG7" i="4"/>
  <c r="AH7" i="4"/>
  <c r="AI7" i="4"/>
  <c r="AJ7" i="4"/>
  <c r="AK7" i="4"/>
  <c r="AL7" i="4"/>
  <c r="AM7" i="4"/>
  <c r="AN7" i="4"/>
  <c r="AO7" i="4"/>
  <c r="AF8" i="4"/>
  <c r="AG8" i="4"/>
  <c r="AH8" i="4"/>
  <c r="AI8" i="4"/>
  <c r="AJ8" i="4"/>
  <c r="AK8" i="4"/>
  <c r="AL8" i="4"/>
  <c r="AM8" i="4"/>
  <c r="AN8" i="4"/>
  <c r="AO8" i="4"/>
  <c r="AF9" i="4"/>
  <c r="AJ9" i="4" s="1"/>
  <c r="AG9" i="4"/>
  <c r="AH9" i="4"/>
  <c r="AI9" i="4"/>
  <c r="AK9" i="4"/>
  <c r="AO9" i="4" s="1"/>
  <c r="AL9" i="4"/>
  <c r="AM9" i="4"/>
  <c r="AN9" i="4"/>
  <c r="AF10" i="4"/>
  <c r="AJ10" i="4" s="1"/>
  <c r="AG10" i="4"/>
  <c r="AH10" i="4"/>
  <c r="AI10" i="4"/>
  <c r="AK10" i="4"/>
  <c r="AO10" i="4" s="1"/>
  <c r="AL10" i="4"/>
  <c r="AM10" i="4"/>
  <c r="AN10" i="4"/>
  <c r="AN3" i="4"/>
  <c r="AI3" i="4"/>
  <c r="AM3" i="4"/>
  <c r="AH3" i="4"/>
  <c r="AL3" i="4"/>
  <c r="AG3" i="4"/>
  <c r="AF3" i="4"/>
  <c r="AJ3" i="4" s="1"/>
  <c r="AK3" i="4"/>
  <c r="AO3" i="4" s="1"/>
  <c r="M5" i="4"/>
  <c r="N5" i="4"/>
  <c r="M6" i="4"/>
  <c r="N6" i="4"/>
  <c r="M7" i="4"/>
  <c r="N7" i="4"/>
  <c r="M8" i="4"/>
  <c r="N8" i="4"/>
  <c r="M9" i="4"/>
  <c r="N9" i="4"/>
  <c r="M10" i="4"/>
  <c r="N10" i="4"/>
  <c r="N4" i="4"/>
  <c r="M4" i="4"/>
  <c r="Q5" i="4"/>
  <c r="X5" i="4" s="1"/>
  <c r="Q6" i="4"/>
  <c r="X6" i="4" s="1"/>
  <c r="Q7" i="4"/>
  <c r="X7" i="4" s="1"/>
  <c r="Q8" i="4"/>
  <c r="X8" i="4" s="1"/>
  <c r="Q9" i="4"/>
  <c r="X9" i="4" s="1"/>
  <c r="Q10" i="4"/>
  <c r="X10" i="4" s="1"/>
  <c r="Q4" i="4"/>
  <c r="X4" i="4" s="1"/>
  <c r="P5" i="4"/>
  <c r="R5" i="4" s="1"/>
  <c r="P6" i="4"/>
  <c r="R6" i="4" s="1"/>
  <c r="P7" i="4"/>
  <c r="R7" i="4" s="1"/>
  <c r="P8" i="4"/>
  <c r="R8" i="4" s="1"/>
  <c r="P9" i="4"/>
  <c r="R9" i="4" s="1"/>
  <c r="P10" i="4"/>
  <c r="R10" i="4" s="1"/>
  <c r="P4" i="4"/>
  <c r="O5" i="4"/>
  <c r="S5" i="4" s="1"/>
  <c r="O6" i="4"/>
  <c r="S6" i="4" s="1"/>
  <c r="O7" i="4"/>
  <c r="S7" i="4" s="1"/>
  <c r="O8" i="4"/>
  <c r="S8" i="4" s="1"/>
  <c r="O9" i="4"/>
  <c r="S9" i="4" s="1"/>
  <c r="O10" i="4"/>
  <c r="S10" i="4" s="1"/>
  <c r="O4" i="4"/>
  <c r="S4" i="4" s="1"/>
  <c r="G19" i="4"/>
  <c r="L5" i="4"/>
  <c r="L6" i="4"/>
  <c r="L7" i="4"/>
  <c r="L8" i="4"/>
  <c r="L9" i="4"/>
  <c r="L10" i="4"/>
  <c r="L4" i="4"/>
  <c r="K4" i="4"/>
  <c r="K5" i="4"/>
  <c r="K6" i="4"/>
  <c r="K7" i="4"/>
  <c r="K8" i="4"/>
  <c r="K9" i="4"/>
  <c r="K10" i="4"/>
  <c r="D35" i="1"/>
  <c r="L4" i="3"/>
  <c r="D27" i="1"/>
  <c r="B5" i="3"/>
  <c r="B6" i="3" s="1"/>
  <c r="D19" i="1"/>
  <c r="D34" i="1" s="1"/>
  <c r="O8" i="2"/>
  <c r="O7" i="2"/>
  <c r="O6" i="2"/>
  <c r="O5" i="2"/>
  <c r="S28" i="2"/>
  <c r="M2" i="2"/>
  <c r="D12" i="1"/>
  <c r="N4" i="3" s="1"/>
  <c r="Q4" i="2"/>
  <c r="R4" i="2"/>
  <c r="Q5" i="2"/>
  <c r="R5" i="2"/>
  <c r="Q6" i="2"/>
  <c r="R6" i="2"/>
  <c r="Q7" i="2"/>
  <c r="R7" i="2"/>
  <c r="Q8" i="2"/>
  <c r="R8" i="2"/>
  <c r="P5" i="2"/>
  <c r="P6" i="2"/>
  <c r="P7" i="2"/>
  <c r="P8" i="2"/>
  <c r="P4" i="2"/>
  <c r="D8" i="1"/>
  <c r="D16" i="1"/>
  <c r="O21" i="4" l="1"/>
  <c r="K19" i="4"/>
  <c r="L20" i="4" s="1"/>
  <c r="U10" i="4"/>
  <c r="V10" i="4" s="1"/>
  <c r="U9" i="4"/>
  <c r="V9" i="4" s="1"/>
  <c r="U7" i="4"/>
  <c r="V7" i="4" s="1"/>
  <c r="U6" i="4"/>
  <c r="V6" i="4" s="1"/>
  <c r="T5" i="4"/>
  <c r="W5" i="4" s="1"/>
  <c r="L19" i="4"/>
  <c r="L21" i="4" s="1"/>
  <c r="T10" i="4"/>
  <c r="W10" i="4" s="1"/>
  <c r="U8" i="4"/>
  <c r="V8" i="4" s="1"/>
  <c r="T7" i="4"/>
  <c r="W7" i="4" s="1"/>
  <c r="U5" i="4"/>
  <c r="V5" i="4" s="1"/>
  <c r="T4" i="4"/>
  <c r="W4" i="4" s="1"/>
  <c r="S19" i="4"/>
  <c r="T9" i="4"/>
  <c r="W9" i="4" s="1"/>
  <c r="T8" i="4"/>
  <c r="W8" i="4" s="1"/>
  <c r="T6" i="4"/>
  <c r="W6" i="4" s="1"/>
  <c r="U4" i="4"/>
  <c r="O20" i="4"/>
  <c r="R4" i="4"/>
  <c r="R19" i="4" s="1"/>
  <c r="S20" i="4" s="1"/>
  <c r="N6" i="3"/>
  <c r="L6" i="3"/>
  <c r="M6" i="3"/>
  <c r="L5" i="3"/>
  <c r="N5" i="3"/>
  <c r="K5" i="3"/>
  <c r="M5" i="3"/>
  <c r="K4" i="3"/>
  <c r="K6" i="3"/>
  <c r="M4" i="3"/>
  <c r="B7" i="3"/>
  <c r="D4" i="1"/>
  <c r="D5" i="1" s="1"/>
  <c r="D24" i="1"/>
  <c r="D23" i="1"/>
  <c r="D22" i="1"/>
  <c r="O4" i="2"/>
  <c r="W19" i="4" l="1"/>
  <c r="V4" i="4"/>
  <c r="V19" i="4" s="1"/>
  <c r="U19" i="4"/>
  <c r="T19" i="4"/>
  <c r="S22" i="4"/>
  <c r="S21" i="4"/>
  <c r="N7" i="3"/>
  <c r="L7" i="3"/>
  <c r="M7" i="3"/>
  <c r="K7" i="3"/>
  <c r="B8" i="3"/>
  <c r="D20" i="1"/>
  <c r="D29" i="1" s="1"/>
  <c r="D13" i="1"/>
  <c r="D11" i="1"/>
  <c r="D7" i="1"/>
  <c r="G3" i="3" s="1"/>
  <c r="D6" i="1"/>
  <c r="Q3" i="3" l="1"/>
  <c r="M3" i="3"/>
  <c r="K3" i="3"/>
  <c r="N3" i="3"/>
  <c r="W21" i="4"/>
  <c r="S26" i="4" s="1"/>
  <c r="W20" i="4"/>
  <c r="S25" i="4" s="1"/>
  <c r="P3" i="3"/>
  <c r="O3" i="3"/>
  <c r="R3" i="3"/>
  <c r="L3" i="3"/>
  <c r="N8" i="3"/>
  <c r="L8" i="3"/>
  <c r="K8" i="3"/>
  <c r="M8" i="3"/>
  <c r="C4" i="3"/>
  <c r="J3" i="3"/>
  <c r="I3" i="3"/>
  <c r="D5" i="3"/>
  <c r="H3" i="3"/>
  <c r="F3" i="3"/>
  <c r="F4" i="3"/>
  <c r="E7" i="3"/>
  <c r="C7" i="3"/>
  <c r="C3" i="3"/>
  <c r="D3" i="3"/>
  <c r="D6" i="3"/>
  <c r="E4" i="3"/>
  <c r="F7" i="3"/>
  <c r="F6" i="3"/>
  <c r="D4" i="3"/>
  <c r="D8" i="3"/>
  <c r="B9" i="3"/>
  <c r="C8" i="3"/>
  <c r="E8" i="3"/>
  <c r="F8" i="3"/>
  <c r="E6" i="3"/>
  <c r="E5" i="3"/>
  <c r="D7" i="3"/>
  <c r="E3" i="3"/>
  <c r="C6" i="3"/>
  <c r="F5" i="3"/>
  <c r="C5" i="3"/>
  <c r="D31" i="1"/>
  <c r="D28" i="1"/>
  <c r="D30" i="1" s="1"/>
  <c r="D14" i="1"/>
  <c r="D33" i="1" s="1"/>
  <c r="R27" i="4" l="1"/>
  <c r="W22" i="4"/>
  <c r="N9" i="3"/>
  <c r="L9" i="3"/>
  <c r="K9" i="3"/>
  <c r="M9" i="3"/>
  <c r="H5" i="3"/>
  <c r="J5" i="3"/>
  <c r="H6" i="3"/>
  <c r="J6" i="3"/>
  <c r="H7" i="3"/>
  <c r="J7" i="3"/>
  <c r="H8" i="3"/>
  <c r="J8" i="3"/>
  <c r="H9" i="3"/>
  <c r="J9" i="3"/>
  <c r="I4" i="3"/>
  <c r="G4" i="3"/>
  <c r="G5" i="3"/>
  <c r="I5" i="3"/>
  <c r="G6" i="3"/>
  <c r="I6" i="3"/>
  <c r="G7" i="3"/>
  <c r="I7" i="3"/>
  <c r="G8" i="3"/>
  <c r="I8" i="3"/>
  <c r="G9" i="3"/>
  <c r="I9" i="3"/>
  <c r="J4" i="3"/>
  <c r="H4" i="3"/>
  <c r="D32" i="1"/>
  <c r="B10" i="3"/>
  <c r="C9" i="3"/>
  <c r="D9" i="3"/>
  <c r="E9" i="3"/>
  <c r="F9" i="3"/>
  <c r="D15" i="1"/>
  <c r="D17" i="1"/>
  <c r="N10" i="3" l="1"/>
  <c r="L10" i="3"/>
  <c r="K10" i="3"/>
  <c r="M10" i="3"/>
  <c r="G10" i="3"/>
  <c r="H10" i="3"/>
  <c r="I10" i="3"/>
  <c r="J10" i="3"/>
  <c r="R6" i="3"/>
  <c r="R8" i="3"/>
  <c r="R10" i="3"/>
  <c r="R4" i="3"/>
  <c r="P6" i="3"/>
  <c r="P8" i="3"/>
  <c r="P10" i="3"/>
  <c r="P4" i="3"/>
  <c r="Q6" i="3"/>
  <c r="Q8" i="3"/>
  <c r="Q10" i="3"/>
  <c r="Q4" i="3"/>
  <c r="O6" i="3"/>
  <c r="O8" i="3"/>
  <c r="O10" i="3"/>
  <c r="O4" i="3"/>
  <c r="R5" i="3"/>
  <c r="R7" i="3"/>
  <c r="R9" i="3"/>
  <c r="P5" i="3"/>
  <c r="P7" i="3"/>
  <c r="P9" i="3"/>
  <c r="Q5" i="3"/>
  <c r="Q7" i="3"/>
  <c r="Q9" i="3"/>
  <c r="O5" i="3"/>
  <c r="O7" i="3"/>
  <c r="O9" i="3"/>
  <c r="D10" i="3"/>
  <c r="B11" i="3"/>
  <c r="C10" i="3"/>
  <c r="E10" i="3"/>
  <c r="F10" i="3"/>
  <c r="N11" i="3" l="1"/>
  <c r="L11" i="3"/>
  <c r="K11" i="3"/>
  <c r="M11" i="3"/>
  <c r="J11" i="3"/>
  <c r="I11" i="3"/>
  <c r="H11" i="3"/>
  <c r="G11" i="3"/>
  <c r="O11" i="3"/>
  <c r="P11" i="3"/>
  <c r="Q11" i="3"/>
  <c r="R11" i="3"/>
  <c r="B12" i="3"/>
  <c r="C11" i="3"/>
  <c r="D11" i="3"/>
  <c r="E11" i="3"/>
  <c r="F11" i="3"/>
  <c r="N12" i="3" l="1"/>
  <c r="L12" i="3"/>
  <c r="K12" i="3"/>
  <c r="M12" i="3"/>
  <c r="J12" i="3"/>
  <c r="I12" i="3"/>
  <c r="H12" i="3"/>
  <c r="G12" i="3"/>
  <c r="R12" i="3"/>
  <c r="P12" i="3"/>
  <c r="Q12" i="3"/>
  <c r="O12" i="3"/>
  <c r="D12" i="3"/>
  <c r="B13" i="3"/>
  <c r="C12" i="3"/>
  <c r="E12" i="3"/>
  <c r="F12" i="3"/>
  <c r="N13" i="3" l="1"/>
  <c r="L13" i="3"/>
  <c r="K13" i="3"/>
  <c r="M13" i="3"/>
  <c r="J13" i="3"/>
  <c r="I13" i="3"/>
  <c r="H13" i="3"/>
  <c r="G13" i="3"/>
  <c r="R13" i="3"/>
  <c r="P13" i="3"/>
  <c r="Q13" i="3"/>
  <c r="O13" i="3"/>
  <c r="B14" i="3"/>
  <c r="C13" i="3"/>
  <c r="D13" i="3"/>
  <c r="E13" i="3"/>
  <c r="F13" i="3"/>
  <c r="N14" i="3" l="1"/>
  <c r="L14" i="3"/>
  <c r="K14" i="3"/>
  <c r="M14" i="3"/>
  <c r="J14" i="3"/>
  <c r="I14" i="3"/>
  <c r="H14" i="3"/>
  <c r="G14" i="3"/>
  <c r="R14" i="3"/>
  <c r="P14" i="3"/>
  <c r="Q14" i="3"/>
  <c r="O14" i="3"/>
  <c r="D14" i="3"/>
  <c r="B15" i="3"/>
  <c r="C14" i="3"/>
  <c r="E14" i="3"/>
  <c r="F14" i="3"/>
  <c r="N15" i="3" l="1"/>
  <c r="L15" i="3"/>
  <c r="K15" i="3"/>
  <c r="M15" i="3"/>
  <c r="J15" i="3"/>
  <c r="I15" i="3"/>
  <c r="H15" i="3"/>
  <c r="G15" i="3"/>
  <c r="R15" i="3"/>
  <c r="Q15" i="3"/>
  <c r="P15" i="3"/>
  <c r="O15" i="3"/>
  <c r="B16" i="3"/>
  <c r="C15" i="3"/>
  <c r="D15" i="3"/>
  <c r="E15" i="3"/>
  <c r="F15" i="3"/>
  <c r="N16" i="3" l="1"/>
  <c r="L16" i="3"/>
  <c r="K16" i="3"/>
  <c r="M16" i="3"/>
  <c r="J16" i="3"/>
  <c r="I16" i="3"/>
  <c r="H16" i="3"/>
  <c r="G16" i="3"/>
  <c r="R16" i="3"/>
  <c r="P16" i="3"/>
  <c r="Q16" i="3"/>
  <c r="O16" i="3"/>
  <c r="D16" i="3"/>
  <c r="B17" i="3"/>
  <c r="C16" i="3"/>
  <c r="E16" i="3"/>
  <c r="F16" i="3"/>
  <c r="N17" i="3" l="1"/>
  <c r="L17" i="3"/>
  <c r="K17" i="3"/>
  <c r="M17" i="3"/>
  <c r="J17" i="3"/>
  <c r="I17" i="3"/>
  <c r="H17" i="3"/>
  <c r="G17" i="3"/>
  <c r="R17" i="3"/>
  <c r="P17" i="3"/>
  <c r="Q17" i="3"/>
  <c r="O17" i="3"/>
  <c r="B18" i="3"/>
  <c r="C17" i="3"/>
  <c r="D17" i="3"/>
  <c r="E17" i="3"/>
  <c r="F17" i="3"/>
  <c r="N18" i="3" l="1"/>
  <c r="L18" i="3"/>
  <c r="K18" i="3"/>
  <c r="M18" i="3"/>
  <c r="J18" i="3"/>
  <c r="I18" i="3"/>
  <c r="H18" i="3"/>
  <c r="G18" i="3"/>
  <c r="R18" i="3"/>
  <c r="P18" i="3"/>
  <c r="Q18" i="3"/>
  <c r="O18" i="3"/>
  <c r="D18" i="3"/>
  <c r="B19" i="3"/>
  <c r="C18" i="3"/>
  <c r="E18" i="3"/>
  <c r="F18" i="3"/>
  <c r="N19" i="3" l="1"/>
  <c r="L19" i="3"/>
  <c r="K19" i="3"/>
  <c r="M19" i="3"/>
  <c r="J19" i="3"/>
  <c r="I19" i="3"/>
  <c r="H19" i="3"/>
  <c r="G19" i="3"/>
  <c r="R19" i="3"/>
  <c r="Q19" i="3"/>
  <c r="P19" i="3"/>
  <c r="O19" i="3"/>
  <c r="B20" i="3"/>
  <c r="C19" i="3"/>
  <c r="D19" i="3"/>
  <c r="E19" i="3"/>
  <c r="F19" i="3"/>
  <c r="N20" i="3" l="1"/>
  <c r="L20" i="3"/>
  <c r="K20" i="3"/>
  <c r="M20" i="3"/>
  <c r="J20" i="3"/>
  <c r="I20" i="3"/>
  <c r="H20" i="3"/>
  <c r="G20" i="3"/>
  <c r="R20" i="3"/>
  <c r="P20" i="3"/>
  <c r="Q20" i="3"/>
  <c r="O20" i="3"/>
  <c r="D20" i="3"/>
  <c r="B21" i="3"/>
  <c r="C20" i="3"/>
  <c r="E20" i="3"/>
  <c r="F20" i="3"/>
  <c r="N21" i="3" l="1"/>
  <c r="L21" i="3"/>
  <c r="K21" i="3"/>
  <c r="M21" i="3"/>
  <c r="J21" i="3"/>
  <c r="I21" i="3"/>
  <c r="H21" i="3"/>
  <c r="G21" i="3"/>
  <c r="R21" i="3"/>
  <c r="P21" i="3"/>
  <c r="Q21" i="3"/>
  <c r="O21" i="3"/>
  <c r="B22" i="3"/>
  <c r="C21" i="3"/>
  <c r="D21" i="3"/>
  <c r="E21" i="3"/>
  <c r="F21" i="3"/>
  <c r="N22" i="3" l="1"/>
  <c r="L22" i="3"/>
  <c r="K22" i="3"/>
  <c r="M22" i="3"/>
  <c r="J22" i="3"/>
  <c r="I22" i="3"/>
  <c r="H22" i="3"/>
  <c r="G22" i="3"/>
  <c r="R22" i="3"/>
  <c r="P22" i="3"/>
  <c r="Q22" i="3"/>
  <c r="O22" i="3"/>
  <c r="D22" i="3"/>
  <c r="B23" i="3"/>
  <c r="C22" i="3"/>
  <c r="E22" i="3"/>
  <c r="F22" i="3"/>
  <c r="N23" i="3" l="1"/>
  <c r="L23" i="3"/>
  <c r="K23" i="3"/>
  <c r="M23" i="3"/>
  <c r="J23" i="3"/>
  <c r="I23" i="3"/>
  <c r="H23" i="3"/>
  <c r="G23" i="3"/>
  <c r="R23" i="3"/>
  <c r="P23" i="3"/>
  <c r="O23" i="3"/>
  <c r="Q23" i="3"/>
  <c r="B24" i="3"/>
  <c r="C23" i="3"/>
  <c r="D23" i="3"/>
  <c r="E23" i="3"/>
  <c r="F23" i="3"/>
  <c r="N24" i="3" l="1"/>
  <c r="L24" i="3"/>
  <c r="K24" i="3"/>
  <c r="M24" i="3"/>
  <c r="J24" i="3"/>
  <c r="I24" i="3"/>
  <c r="H24" i="3"/>
  <c r="G24" i="3"/>
  <c r="R24" i="3"/>
  <c r="P24" i="3"/>
  <c r="Q24" i="3"/>
  <c r="O24" i="3"/>
  <c r="D24" i="3"/>
  <c r="B25" i="3"/>
  <c r="C24" i="3"/>
  <c r="E24" i="3"/>
  <c r="F24" i="3"/>
  <c r="N25" i="3" l="1"/>
  <c r="L25" i="3"/>
  <c r="K25" i="3"/>
  <c r="M25" i="3"/>
  <c r="J25" i="3"/>
  <c r="I25" i="3"/>
  <c r="H25" i="3"/>
  <c r="G25" i="3"/>
  <c r="R25" i="3"/>
  <c r="P25" i="3"/>
  <c r="Q25" i="3"/>
  <c r="O25" i="3"/>
  <c r="B26" i="3"/>
  <c r="C25" i="3"/>
  <c r="D25" i="3"/>
  <c r="E25" i="3"/>
  <c r="F25" i="3"/>
  <c r="N26" i="3" l="1"/>
  <c r="L26" i="3"/>
  <c r="K26" i="3"/>
  <c r="M26" i="3"/>
  <c r="J26" i="3"/>
  <c r="I26" i="3"/>
  <c r="H26" i="3"/>
  <c r="G26" i="3"/>
  <c r="R26" i="3"/>
  <c r="P26" i="3"/>
  <c r="Q26" i="3"/>
  <c r="O26" i="3"/>
  <c r="D26" i="3"/>
  <c r="B27" i="3"/>
  <c r="C26" i="3"/>
  <c r="E26" i="3"/>
  <c r="F26" i="3"/>
  <c r="N27" i="3" l="1"/>
  <c r="L27" i="3"/>
  <c r="K27" i="3"/>
  <c r="M27" i="3"/>
  <c r="J27" i="3"/>
  <c r="I27" i="3"/>
  <c r="H27" i="3"/>
  <c r="G27" i="3"/>
  <c r="Q27" i="3"/>
  <c r="R27" i="3"/>
  <c r="P27" i="3"/>
  <c r="O27" i="3"/>
  <c r="B28" i="3"/>
  <c r="C27" i="3"/>
  <c r="D27" i="3"/>
  <c r="E27" i="3"/>
  <c r="F27" i="3"/>
  <c r="N28" i="3" l="1"/>
  <c r="L28" i="3"/>
  <c r="K28" i="3"/>
  <c r="M28" i="3"/>
  <c r="J28" i="3"/>
  <c r="I28" i="3"/>
  <c r="H28" i="3"/>
  <c r="G28" i="3"/>
  <c r="R28" i="3"/>
  <c r="P28" i="3"/>
  <c r="Q28" i="3"/>
  <c r="O28" i="3"/>
  <c r="D28" i="3"/>
  <c r="B29" i="3"/>
  <c r="C28" i="3"/>
  <c r="E28" i="3"/>
  <c r="F28" i="3"/>
  <c r="N29" i="3" l="1"/>
  <c r="L29" i="3"/>
  <c r="K29" i="3"/>
  <c r="M29" i="3"/>
  <c r="J29" i="3"/>
  <c r="I29" i="3"/>
  <c r="H29" i="3"/>
  <c r="G29" i="3"/>
  <c r="R29" i="3"/>
  <c r="P29" i="3"/>
  <c r="Q29" i="3"/>
  <c r="O29" i="3"/>
  <c r="B30" i="3"/>
  <c r="C29" i="3"/>
  <c r="D29" i="3"/>
  <c r="E29" i="3"/>
  <c r="F29" i="3"/>
  <c r="N30" i="3" l="1"/>
  <c r="L30" i="3"/>
  <c r="K30" i="3"/>
  <c r="M30" i="3"/>
  <c r="J30" i="3"/>
  <c r="I30" i="3"/>
  <c r="H30" i="3"/>
  <c r="G30" i="3"/>
  <c r="R30" i="3"/>
  <c r="P30" i="3"/>
  <c r="Q30" i="3"/>
  <c r="O30" i="3"/>
  <c r="D30" i="3"/>
  <c r="B31" i="3"/>
  <c r="C30" i="3"/>
  <c r="E30" i="3"/>
  <c r="F30" i="3"/>
  <c r="N31" i="3" l="1"/>
  <c r="L31" i="3"/>
  <c r="K31" i="3"/>
  <c r="M31" i="3"/>
  <c r="J31" i="3"/>
  <c r="I31" i="3"/>
  <c r="H31" i="3"/>
  <c r="G31" i="3"/>
  <c r="R31" i="3"/>
  <c r="P31" i="3"/>
  <c r="O31" i="3"/>
  <c r="Q31" i="3"/>
  <c r="B32" i="3"/>
  <c r="C31" i="3"/>
  <c r="D31" i="3"/>
  <c r="E31" i="3"/>
  <c r="F31" i="3"/>
  <c r="N32" i="3" l="1"/>
  <c r="L32" i="3"/>
  <c r="K32" i="3"/>
  <c r="M32" i="3"/>
  <c r="J32" i="3"/>
  <c r="I32" i="3"/>
  <c r="H32" i="3"/>
  <c r="G32" i="3"/>
  <c r="R32" i="3"/>
  <c r="P32" i="3"/>
  <c r="Q32" i="3"/>
  <c r="O32" i="3"/>
  <c r="D32" i="3"/>
  <c r="B33" i="3"/>
  <c r="C32" i="3"/>
  <c r="E32" i="3"/>
  <c r="F32" i="3"/>
  <c r="N33" i="3" l="1"/>
  <c r="L33" i="3"/>
  <c r="K33" i="3"/>
  <c r="M33" i="3"/>
  <c r="J33" i="3"/>
  <c r="I33" i="3"/>
  <c r="H33" i="3"/>
  <c r="G33" i="3"/>
  <c r="R33" i="3"/>
  <c r="P33" i="3"/>
  <c r="Q33" i="3"/>
  <c r="O33" i="3"/>
  <c r="B34" i="3"/>
  <c r="C33" i="3"/>
  <c r="D33" i="3"/>
  <c r="E33" i="3"/>
  <c r="F33" i="3"/>
  <c r="N34" i="3" l="1"/>
  <c r="L34" i="3"/>
  <c r="K34" i="3"/>
  <c r="M34" i="3"/>
  <c r="J34" i="3"/>
  <c r="H34" i="3"/>
  <c r="G34" i="3"/>
  <c r="I34" i="3"/>
  <c r="R34" i="3"/>
  <c r="P34" i="3"/>
  <c r="Q34" i="3"/>
  <c r="O34" i="3"/>
  <c r="D34" i="3"/>
  <c r="B35" i="3"/>
  <c r="C34" i="3"/>
  <c r="E34" i="3"/>
  <c r="F34" i="3"/>
  <c r="N35" i="3" l="1"/>
  <c r="L35" i="3"/>
  <c r="K35" i="3"/>
  <c r="M35" i="3"/>
  <c r="J35" i="3"/>
  <c r="I35" i="3"/>
  <c r="H35" i="3"/>
  <c r="G35" i="3"/>
  <c r="R35" i="3"/>
  <c r="Q35" i="3"/>
  <c r="P35" i="3"/>
  <c r="O35" i="3"/>
  <c r="B36" i="3"/>
  <c r="C35" i="3"/>
  <c r="D35" i="3"/>
  <c r="E35" i="3"/>
  <c r="F35" i="3"/>
  <c r="N36" i="3" l="1"/>
  <c r="L36" i="3"/>
  <c r="K36" i="3"/>
  <c r="M36" i="3"/>
  <c r="J36" i="3"/>
  <c r="H36" i="3"/>
  <c r="G36" i="3"/>
  <c r="I36" i="3"/>
  <c r="R36" i="3"/>
  <c r="P36" i="3"/>
  <c r="Q36" i="3"/>
  <c r="O36" i="3"/>
  <c r="D36" i="3"/>
  <c r="B37" i="3"/>
  <c r="C36" i="3"/>
  <c r="E36" i="3"/>
  <c r="F36" i="3"/>
  <c r="N37" i="3" l="1"/>
  <c r="L37" i="3"/>
  <c r="K37" i="3"/>
  <c r="M37" i="3"/>
  <c r="J37" i="3"/>
  <c r="I37" i="3"/>
  <c r="H37" i="3"/>
  <c r="G37" i="3"/>
  <c r="R37" i="3"/>
  <c r="P37" i="3"/>
  <c r="Q37" i="3"/>
  <c r="O37" i="3"/>
  <c r="B38" i="3"/>
  <c r="C37" i="3"/>
  <c r="D37" i="3"/>
  <c r="E37" i="3"/>
  <c r="F37" i="3"/>
  <c r="N38" i="3" l="1"/>
  <c r="L38" i="3"/>
  <c r="K38" i="3"/>
  <c r="M38" i="3"/>
  <c r="J38" i="3"/>
  <c r="H38" i="3"/>
  <c r="G38" i="3"/>
  <c r="I38" i="3"/>
  <c r="R38" i="3"/>
  <c r="P38" i="3"/>
  <c r="Q38" i="3"/>
  <c r="O38" i="3"/>
  <c r="D38" i="3"/>
  <c r="B39" i="3"/>
  <c r="C38" i="3"/>
  <c r="E38" i="3"/>
  <c r="F38" i="3"/>
  <c r="N39" i="3" l="1"/>
  <c r="L39" i="3"/>
  <c r="K39" i="3"/>
  <c r="M39" i="3"/>
  <c r="J39" i="3"/>
  <c r="I39" i="3"/>
  <c r="H39" i="3"/>
  <c r="G39" i="3"/>
  <c r="P39" i="3"/>
  <c r="O39" i="3"/>
  <c r="R39" i="3"/>
  <c r="Q39" i="3"/>
  <c r="B40" i="3"/>
  <c r="C39" i="3"/>
  <c r="D39" i="3"/>
  <c r="E39" i="3"/>
  <c r="F39" i="3"/>
  <c r="N40" i="3" l="1"/>
  <c r="L40" i="3"/>
  <c r="K40" i="3"/>
  <c r="M40" i="3"/>
  <c r="J40" i="3"/>
  <c r="H40" i="3"/>
  <c r="G40" i="3"/>
  <c r="I40" i="3"/>
  <c r="R40" i="3"/>
  <c r="P40" i="3"/>
  <c r="Q40" i="3"/>
  <c r="O40" i="3"/>
  <c r="D40" i="3"/>
  <c r="B41" i="3"/>
  <c r="C40" i="3"/>
  <c r="E40" i="3"/>
  <c r="F40" i="3"/>
  <c r="N41" i="3" l="1"/>
  <c r="L41" i="3"/>
  <c r="K41" i="3"/>
  <c r="M41" i="3"/>
  <c r="J41" i="3"/>
  <c r="I41" i="3"/>
  <c r="H41" i="3"/>
  <c r="G41" i="3"/>
  <c r="R41" i="3"/>
  <c r="P41" i="3"/>
  <c r="Q41" i="3"/>
  <c r="O41" i="3"/>
  <c r="B42" i="3"/>
  <c r="C41" i="3"/>
  <c r="D41" i="3"/>
  <c r="E41" i="3"/>
  <c r="F41" i="3"/>
  <c r="N42" i="3" l="1"/>
  <c r="L42" i="3"/>
  <c r="K42" i="3"/>
  <c r="M42" i="3"/>
  <c r="J42" i="3"/>
  <c r="H42" i="3"/>
  <c r="G42" i="3"/>
  <c r="I42" i="3"/>
  <c r="R42" i="3"/>
  <c r="P42" i="3"/>
  <c r="Q42" i="3"/>
  <c r="O42" i="3"/>
  <c r="D42" i="3"/>
  <c r="B43" i="3"/>
  <c r="C42" i="3"/>
  <c r="E42" i="3"/>
  <c r="F42" i="3"/>
  <c r="N43" i="3" l="1"/>
  <c r="L43" i="3"/>
  <c r="K43" i="3"/>
  <c r="M43" i="3"/>
  <c r="J43" i="3"/>
  <c r="I43" i="3"/>
  <c r="H43" i="3"/>
  <c r="G43" i="3"/>
  <c r="R43" i="3"/>
  <c r="Q43" i="3"/>
  <c r="P43" i="3"/>
  <c r="O43" i="3"/>
  <c r="B44" i="3"/>
  <c r="C43" i="3"/>
  <c r="D43" i="3"/>
  <c r="E43" i="3"/>
  <c r="F43" i="3"/>
  <c r="N44" i="3" l="1"/>
  <c r="L44" i="3"/>
  <c r="K44" i="3"/>
  <c r="M44" i="3"/>
  <c r="J44" i="3"/>
  <c r="H44" i="3"/>
  <c r="G44" i="3"/>
  <c r="I44" i="3"/>
  <c r="R44" i="3"/>
  <c r="P44" i="3"/>
  <c r="Q44" i="3"/>
  <c r="O44" i="3"/>
  <c r="D44" i="3"/>
  <c r="B45" i="3"/>
  <c r="C44" i="3"/>
  <c r="E44" i="3"/>
  <c r="F44" i="3"/>
  <c r="N45" i="3" l="1"/>
  <c r="L45" i="3"/>
  <c r="K45" i="3"/>
  <c r="M45" i="3"/>
  <c r="J45" i="3"/>
  <c r="I45" i="3"/>
  <c r="H45" i="3"/>
  <c r="G45" i="3"/>
  <c r="R45" i="3"/>
  <c r="P45" i="3"/>
  <c r="Q45" i="3"/>
  <c r="O45" i="3"/>
  <c r="B46" i="3"/>
  <c r="C45" i="3"/>
  <c r="D45" i="3"/>
  <c r="E45" i="3"/>
  <c r="F45" i="3"/>
  <c r="N46" i="3" l="1"/>
  <c r="L46" i="3"/>
  <c r="K46" i="3"/>
  <c r="M46" i="3"/>
  <c r="J46" i="3"/>
  <c r="H46" i="3"/>
  <c r="G46" i="3"/>
  <c r="I46" i="3"/>
  <c r="R46" i="3"/>
  <c r="P46" i="3"/>
  <c r="Q46" i="3"/>
  <c r="O46" i="3"/>
  <c r="D46" i="3"/>
  <c r="B47" i="3"/>
  <c r="C46" i="3"/>
  <c r="E46" i="3"/>
  <c r="F46" i="3"/>
  <c r="N47" i="3" l="1"/>
  <c r="L47" i="3"/>
  <c r="K47" i="3"/>
  <c r="M47" i="3"/>
  <c r="J47" i="3"/>
  <c r="I47" i="3"/>
  <c r="H47" i="3"/>
  <c r="G47" i="3"/>
  <c r="P47" i="3"/>
  <c r="O47" i="3"/>
  <c r="R47" i="3"/>
  <c r="Q47" i="3"/>
  <c r="C47" i="3"/>
  <c r="D47" i="3"/>
  <c r="E47" i="3"/>
  <c r="F47" i="3"/>
</calcChain>
</file>

<file path=xl/sharedStrings.xml><?xml version="1.0" encoding="utf-8"?>
<sst xmlns="http://schemas.openxmlformats.org/spreadsheetml/2006/main" count="324" uniqueCount="184">
  <si>
    <t>Ζώνη σεισμικής επικινδυνότητας</t>
  </si>
  <si>
    <t>=</t>
  </si>
  <si>
    <t>Ι</t>
  </si>
  <si>
    <t>ΙΙ</t>
  </si>
  <si>
    <t>ΙΙΙ</t>
  </si>
  <si>
    <t>index</t>
  </si>
  <si>
    <t>Κείμενο</t>
  </si>
  <si>
    <t>επιλογή</t>
  </si>
  <si>
    <t>Συντελεστής σπουδαιότητας</t>
  </si>
  <si>
    <t>Σ1</t>
  </si>
  <si>
    <t>Σ2</t>
  </si>
  <si>
    <t>Σ3</t>
  </si>
  <si>
    <t>Σ4</t>
  </si>
  <si>
    <t>Κατηγορία εδάφους</t>
  </si>
  <si>
    <t>Σεισμική
επιτάχυνση
Α = α * g</t>
  </si>
  <si>
    <t>q</t>
  </si>
  <si>
    <t>Επιλογή</t>
  </si>
  <si>
    <t>sec</t>
  </si>
  <si>
    <t>β</t>
  </si>
  <si>
    <t>g</t>
  </si>
  <si>
    <t>Επιτάχυνση της βαρύτητας</t>
  </si>
  <si>
    <r>
      <t>γ</t>
    </r>
    <r>
      <rPr>
        <b/>
        <vertAlign val="subscript"/>
        <sz val="11"/>
        <rFont val="Calibri"/>
        <family val="2"/>
        <charset val="161"/>
        <scheme val="minor"/>
      </rPr>
      <t>Ι</t>
    </r>
  </si>
  <si>
    <t>η</t>
  </si>
  <si>
    <t>%</t>
  </si>
  <si>
    <t>Διορθωτικός συντελεστής απόσβεσης</t>
  </si>
  <si>
    <t>A</t>
  </si>
  <si>
    <t>B</t>
  </si>
  <si>
    <t>T</t>
  </si>
  <si>
    <t>Ιδιοπερίοδος κατασκευής</t>
  </si>
  <si>
    <t>Συντελεστής σεισμικής συμπεριφοράς για οριζόντια επιτάχυνση</t>
  </si>
  <si>
    <r>
      <t>q</t>
    </r>
    <r>
      <rPr>
        <b/>
        <vertAlign val="subscript"/>
        <sz val="11"/>
        <rFont val="Calibri"/>
        <family val="2"/>
        <charset val="161"/>
        <scheme val="minor"/>
      </rPr>
      <t>v</t>
    </r>
  </si>
  <si>
    <t>Συντελεστής σεισμικής συμπεριφοράς  για κατακόρυφη επιτάχυνση</t>
  </si>
  <si>
    <t>Ιδιοπερίοδος</t>
  </si>
  <si>
    <t>Λόγος κατακόρυφης προς οριζόντιας επιτάχυνσης</t>
  </si>
  <si>
    <t>C</t>
  </si>
  <si>
    <t>D</t>
  </si>
  <si>
    <t>E</t>
  </si>
  <si>
    <t>S</t>
  </si>
  <si>
    <t>TB</t>
  </si>
  <si>
    <t>TC</t>
  </si>
  <si>
    <t>TD</t>
  </si>
  <si>
    <t>M &lt; 5.5</t>
  </si>
  <si>
    <t>M &gt; 5.5</t>
  </si>
  <si>
    <t>Μέγεθος κύματος επιφάνειας</t>
  </si>
  <si>
    <t>&lt; 5.5</t>
  </si>
  <si>
    <t>&gt; 5.5</t>
  </si>
  <si>
    <r>
      <t>Μ</t>
    </r>
    <r>
      <rPr>
        <b/>
        <vertAlign val="subscript"/>
        <sz val="11"/>
        <rFont val="Calibri"/>
        <family val="2"/>
        <charset val="161"/>
        <scheme val="minor"/>
      </rPr>
      <t>s</t>
    </r>
  </si>
  <si>
    <t>:</t>
  </si>
  <si>
    <r>
      <t>α</t>
    </r>
    <r>
      <rPr>
        <b/>
        <vertAlign val="subscript"/>
        <sz val="11"/>
        <rFont val="Calibri"/>
        <family val="2"/>
        <charset val="161"/>
        <scheme val="minor"/>
      </rPr>
      <t>gR</t>
    </r>
  </si>
  <si>
    <t>Συντελεστής εδάφους</t>
  </si>
  <si>
    <t>Ελαστικό φάσμα απόκρισης</t>
  </si>
  <si>
    <t>Ελαστικό φάσμα απόκρισης μετακινήσεων</t>
  </si>
  <si>
    <t>Τύπος</t>
  </si>
  <si>
    <t>Τύπος 1</t>
  </si>
  <si>
    <t>Τύπος 2</t>
  </si>
  <si>
    <t>Φάσματα κατακόρυφης ελαστικής απόκρισης</t>
  </si>
  <si>
    <t>α.v/α</t>
  </si>
  <si>
    <r>
      <t>d</t>
    </r>
    <r>
      <rPr>
        <b/>
        <vertAlign val="subscript"/>
        <sz val="11"/>
        <rFont val="Calibri"/>
        <family val="2"/>
        <charset val="161"/>
        <scheme val="minor"/>
      </rPr>
      <t>g</t>
    </r>
  </si>
  <si>
    <t>Εδαφική μετακίνηση σχεδιασμού</t>
  </si>
  <si>
    <t>Συντελεστής εδάφους για κατακόρυφη επιτάχυνση</t>
  </si>
  <si>
    <t>συντελεστής κάτωτατου ορίου οριζοντίου φάσματος σχεδιασμού</t>
  </si>
  <si>
    <t>ξ</t>
  </si>
  <si>
    <t>Κατακόρυφη εδαφική επιτάχυνση σε έδαφος κατηγορίας Α</t>
  </si>
  <si>
    <r>
      <t>S</t>
    </r>
    <r>
      <rPr>
        <b/>
        <vertAlign val="subscript"/>
        <sz val="11"/>
        <rFont val="Calibri"/>
        <family val="2"/>
        <charset val="161"/>
        <scheme val="minor"/>
      </rPr>
      <t>d,v</t>
    </r>
    <r>
      <rPr>
        <b/>
        <sz val="11"/>
        <rFont val="Calibri"/>
        <family val="2"/>
        <charset val="161"/>
        <scheme val="minor"/>
      </rPr>
      <t>(T)</t>
    </r>
  </si>
  <si>
    <t>Φάσμα σχεδιασμού για ελαστική ανάλυση (κατακόρυφη συνιστώσα)</t>
  </si>
  <si>
    <t>Φάσμα σχεδιασμού για ελαστική ανάλυση (οριζόντια συνιστώσα)</t>
  </si>
  <si>
    <r>
      <t>S</t>
    </r>
    <r>
      <rPr>
        <b/>
        <vertAlign val="subscript"/>
        <sz val="11"/>
        <rFont val="Calibri"/>
        <family val="2"/>
        <charset val="161"/>
        <scheme val="minor"/>
      </rPr>
      <t>ve</t>
    </r>
    <r>
      <rPr>
        <b/>
        <sz val="11"/>
        <rFont val="Calibri"/>
        <family val="2"/>
        <charset val="161"/>
        <scheme val="minor"/>
      </rPr>
      <t>(T)</t>
    </r>
  </si>
  <si>
    <t>Μέγεθος κύματος επιφάνειας(Επιλογή τύπου φάσματος)</t>
  </si>
  <si>
    <t>Τύπος Φάσματος</t>
  </si>
  <si>
    <r>
      <t>α</t>
    </r>
    <r>
      <rPr>
        <vertAlign val="subscript"/>
        <sz val="11"/>
        <color theme="1"/>
        <rFont val="Calibri"/>
        <family val="2"/>
        <charset val="161"/>
        <scheme val="minor"/>
      </rPr>
      <t>vg</t>
    </r>
    <r>
      <rPr>
        <sz val="11"/>
        <color theme="1"/>
        <rFont val="Calibri"/>
        <family val="2"/>
        <charset val="161"/>
        <scheme val="minor"/>
      </rPr>
      <t>/α</t>
    </r>
    <r>
      <rPr>
        <vertAlign val="subscript"/>
        <sz val="11"/>
        <color theme="1"/>
        <rFont val="Calibri"/>
        <family val="2"/>
        <charset val="161"/>
        <scheme val="minor"/>
      </rPr>
      <t>g</t>
    </r>
  </si>
  <si>
    <r>
      <t>α</t>
    </r>
    <r>
      <rPr>
        <vertAlign val="subscript"/>
        <sz val="11"/>
        <color theme="1"/>
        <rFont val="Calibri"/>
        <family val="2"/>
        <charset val="161"/>
        <scheme val="minor"/>
      </rPr>
      <t>vg</t>
    </r>
  </si>
  <si>
    <t>Εδαφική επιτάχυνση αναφοράς στον Βράχο (έδαφος Α)</t>
  </si>
  <si>
    <t>ν</t>
  </si>
  <si>
    <t>τιμή γΙ</t>
  </si>
  <si>
    <t>τιμή ν</t>
  </si>
  <si>
    <t>Κατηγορία εδάφους Tύπος φάσματος 1</t>
  </si>
  <si>
    <t>Κατηγορία εδάφους Τύπος φάσματος 2</t>
  </si>
  <si>
    <t>S/ag</t>
  </si>
  <si>
    <t>step:</t>
  </si>
  <si>
    <t>ag</t>
  </si>
  <si>
    <t>Κρίσιμο ποσοστό απόσβεσης (επηρεάζει μόνο το ελαστικό φάσμα)</t>
  </si>
  <si>
    <r>
      <t>α</t>
    </r>
    <r>
      <rPr>
        <vertAlign val="subscript"/>
        <sz val="11"/>
        <color theme="1"/>
        <rFont val="Calibri"/>
        <family val="2"/>
        <charset val="161"/>
        <scheme val="minor"/>
      </rPr>
      <t>g (NC)</t>
    </r>
  </si>
  <si>
    <r>
      <t>α</t>
    </r>
    <r>
      <rPr>
        <vertAlign val="subscript"/>
        <sz val="11"/>
        <color theme="1"/>
        <rFont val="Calibri"/>
        <family val="2"/>
        <charset val="161"/>
        <scheme val="minor"/>
      </rPr>
      <t>g (DL)</t>
    </r>
  </si>
  <si>
    <r>
      <t>S</t>
    </r>
    <r>
      <rPr>
        <vertAlign val="subscript"/>
        <sz val="11"/>
        <color theme="1"/>
        <rFont val="Calibri"/>
        <family val="2"/>
        <charset val="161"/>
        <scheme val="minor"/>
      </rPr>
      <t>v</t>
    </r>
  </si>
  <si>
    <r>
      <t>T</t>
    </r>
    <r>
      <rPr>
        <vertAlign val="subscript"/>
        <sz val="11"/>
        <color theme="1"/>
        <rFont val="Calibri"/>
        <family val="2"/>
        <charset val="161"/>
        <scheme val="minor"/>
      </rPr>
      <t>B</t>
    </r>
  </si>
  <si>
    <r>
      <t>T</t>
    </r>
    <r>
      <rPr>
        <vertAlign val="subscript"/>
        <sz val="11"/>
        <color theme="1"/>
        <rFont val="Calibri"/>
        <family val="2"/>
        <charset val="161"/>
        <scheme val="minor"/>
      </rPr>
      <t>C</t>
    </r>
  </si>
  <si>
    <r>
      <t>T</t>
    </r>
    <r>
      <rPr>
        <vertAlign val="subscript"/>
        <sz val="11"/>
        <color theme="1"/>
        <rFont val="Calibri"/>
        <family val="2"/>
        <charset val="161"/>
        <scheme val="minor"/>
      </rPr>
      <t>D</t>
    </r>
  </si>
  <si>
    <r>
      <t>S</t>
    </r>
    <r>
      <rPr>
        <b/>
        <vertAlign val="subscript"/>
        <sz val="11"/>
        <rFont val="Calibri"/>
        <family val="2"/>
        <charset val="161"/>
        <scheme val="minor"/>
      </rPr>
      <t>e</t>
    </r>
    <r>
      <rPr>
        <b/>
        <sz val="11"/>
        <rFont val="Calibri"/>
        <family val="2"/>
        <charset val="161"/>
        <scheme val="minor"/>
      </rPr>
      <t>(T)/ag</t>
    </r>
  </si>
  <si>
    <r>
      <t>S</t>
    </r>
    <r>
      <rPr>
        <b/>
        <vertAlign val="subscript"/>
        <sz val="11"/>
        <rFont val="Calibri"/>
        <family val="2"/>
        <charset val="161"/>
        <scheme val="minor"/>
      </rPr>
      <t>d</t>
    </r>
    <r>
      <rPr>
        <b/>
        <sz val="11"/>
        <rFont val="Calibri"/>
        <family val="2"/>
        <charset val="161"/>
        <scheme val="minor"/>
      </rPr>
      <t>(T)/ag</t>
    </r>
  </si>
  <si>
    <t>1η χαρακτηριστική ιδιοπερίοδος (αρχή πλατώ σταθερής επιτάχυνσης)</t>
  </si>
  <si>
    <t>2η χαρακτηριστική ιδιοπερίοδος (τέλος πλατώ σταθερής επιτάχυνσης)</t>
  </si>
  <si>
    <t>3η χαρακτηριστική ιδιοπερίοδος (αρχή σταθερών μετακινήσεων)</t>
  </si>
  <si>
    <t>Σπουδαιότητα κτιρίου - Σύνηθες γΙ=1.0</t>
  </si>
  <si>
    <t>type</t>
  </si>
  <si>
    <t>Ζώνη</t>
  </si>
  <si>
    <t>Σ</t>
  </si>
  <si>
    <t>SoilType</t>
  </si>
  <si>
    <r>
      <t>S</t>
    </r>
    <r>
      <rPr>
        <b/>
        <vertAlign val="subscript"/>
        <sz val="11"/>
        <rFont val="Calibri"/>
        <family val="2"/>
        <charset val="161"/>
        <scheme val="minor"/>
      </rPr>
      <t>De</t>
    </r>
    <r>
      <rPr>
        <b/>
        <sz val="11"/>
        <rFont val="Calibri"/>
        <family val="2"/>
        <charset val="161"/>
        <scheme val="minor"/>
      </rPr>
      <t>(T)/ag</t>
    </r>
  </si>
  <si>
    <t>KN</t>
  </si>
  <si>
    <t>Μ</t>
  </si>
  <si>
    <t>Κg</t>
  </si>
  <si>
    <t>Mάζα κατασκευής M=B*(10^3)/9.81</t>
  </si>
  <si>
    <t>Fe</t>
  </si>
  <si>
    <t>Fd</t>
  </si>
  <si>
    <t>Oριζόντια δύναμη σχεδιασμό οιονεί ελαστικού συστήματος</t>
  </si>
  <si>
    <t>Oριζόντια δύναμη σχεδιασμό  ελαστοπλαστικού συστήματος</t>
  </si>
  <si>
    <t>Eδαφική επιτάχυνση για τον σεισμό "περιορισμού βλαβών" -  αg(γΙ,v)</t>
  </si>
  <si>
    <t>Εδαφική επιτάχυνση σχεδιασμού "Μη κατάρευση" - αg (γΙ)</t>
  </si>
  <si>
    <t>m</t>
  </si>
  <si>
    <t>EC8-HOR-GREECE S/ag</t>
  </si>
  <si>
    <t>EC8-HOR-GREECE S (m/s^2)</t>
  </si>
  <si>
    <t>Συντελεστής μείωσης σεισμικής δράσης "περιορισμού βλαβών"</t>
  </si>
  <si>
    <t>DL</t>
  </si>
  <si>
    <t>EC8-VER-GREECE S/avg</t>
  </si>
  <si>
    <t>EC8-VER-GREECE S (m/s^2)</t>
  </si>
  <si>
    <t>m/sec2</t>
  </si>
  <si>
    <t>Ελαστικό Φάσμα για ελαστική ανάλυση (κατακόρυφη συνιστώσα)</t>
  </si>
  <si>
    <t>-</t>
  </si>
  <si>
    <t>avg</t>
  </si>
  <si>
    <t>Βάρος κατασκευής (N(G+ψ2*Q))</t>
  </si>
  <si>
    <t>yi</t>
  </si>
  <si>
    <t>xi</t>
  </si>
  <si>
    <t>hi</t>
  </si>
  <si>
    <t>bi</t>
  </si>
  <si>
    <t>Συντ. Δυσκαμψίας</t>
  </si>
  <si>
    <t>Mpa</t>
  </si>
  <si>
    <t>Μέτρο ελαστικότητας</t>
  </si>
  <si>
    <t>Υψος Ορόφου</t>
  </si>
  <si>
    <t>K/K</t>
  </si>
  <si>
    <t>Yπολογισμός κέντρου βάρους</t>
  </si>
  <si>
    <t>xcm=</t>
  </si>
  <si>
    <t>ycm=</t>
  </si>
  <si>
    <t>Ix</t>
  </si>
  <si>
    <t>Iy</t>
  </si>
  <si>
    <t>Poisson</t>
  </si>
  <si>
    <t>Μέτρο δυστμησίας</t>
  </si>
  <si>
    <t>Τοιχωμα?</t>
  </si>
  <si>
    <t>Κατα Y</t>
  </si>
  <si>
    <t>Κατά Χ</t>
  </si>
  <si>
    <t>m4</t>
  </si>
  <si>
    <t>Σ(ΕIy)=</t>
  </si>
  <si>
    <t>Σ(ΕIx)=</t>
  </si>
  <si>
    <t>(xi^2)E*Iyi</t>
  </si>
  <si>
    <t>(yi^2)*E*Ixi</t>
  </si>
  <si>
    <t>MN*m4</t>
  </si>
  <si>
    <t>Σ(x^2ΕIx+y^2EIy)=</t>
  </si>
  <si>
    <t>rx=</t>
  </si>
  <si>
    <t>ry=</t>
  </si>
  <si>
    <t>KNm</t>
  </si>
  <si>
    <t>Kx</t>
  </si>
  <si>
    <t>Ky</t>
  </si>
  <si>
    <t>MN/m</t>
  </si>
  <si>
    <t>m2</t>
  </si>
  <si>
    <t>Υπολογισμός ακτίνας δυστρεψίας EC8</t>
  </si>
  <si>
    <t>xi*Kyi</t>
  </si>
  <si>
    <t>yi*Kxi</t>
  </si>
  <si>
    <t>MN</t>
  </si>
  <si>
    <t>Κέντρο δυσκαμψίας</t>
  </si>
  <si>
    <t>xcR=</t>
  </si>
  <si>
    <t>yCR=</t>
  </si>
  <si>
    <t>S=</t>
  </si>
  <si>
    <t>1y</t>
  </si>
  <si>
    <t>1χ</t>
  </si>
  <si>
    <t>2χ</t>
  </si>
  <si>
    <t>3χ</t>
  </si>
  <si>
    <t>4χ</t>
  </si>
  <si>
    <t>5χ</t>
  </si>
  <si>
    <t>2y</t>
  </si>
  <si>
    <t>3y</t>
  </si>
  <si>
    <t>4y</t>
  </si>
  <si>
    <t>5y</t>
  </si>
  <si>
    <t>4 κορυφές δεξιόστροφα 1 μεγαλύτερο Υ</t>
  </si>
  <si>
    <t>ex=</t>
  </si>
  <si>
    <t>ey=</t>
  </si>
  <si>
    <t>fck</t>
  </si>
  <si>
    <t>Ni</t>
  </si>
  <si>
    <t>Ni*xi</t>
  </si>
  <si>
    <t>Ni*yi</t>
  </si>
  <si>
    <t>Εκκεντρότητες</t>
  </si>
  <si>
    <t>vd</t>
  </si>
  <si>
    <t>mi</t>
  </si>
  <si>
    <t>Kg</t>
  </si>
  <si>
    <t>max</t>
  </si>
  <si>
    <t xml:space="preserve"> 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</si>
</sst>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"/>
    <numFmt numFmtId="166" formatCode="0.0000"/>
    <numFmt numFmtId="167" formatCode="0.000000"/>
  </numFmts>
  <fonts count="17" x14ac:knownFonts="1">
    <font>
      <sz val="11"/>
      <color theme="1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1"/>
      <color rgb="FF00B050"/>
      <name val="Calibri"/>
      <family val="2"/>
      <charset val="161"/>
      <scheme val="minor"/>
    </font>
    <font>
      <sz val="10"/>
      <color theme="0" tint="-0.499984740745262"/>
      <name val="Calibri"/>
      <family val="2"/>
      <charset val="161"/>
    </font>
    <font>
      <i/>
      <sz val="11"/>
      <color theme="5"/>
      <name val="Calibri"/>
      <family val="2"/>
      <charset val="161"/>
      <scheme val="minor"/>
    </font>
    <font>
      <b/>
      <sz val="11"/>
      <color rgb="FF0070C0"/>
      <name val="Calibri"/>
      <family val="2"/>
      <charset val="161"/>
    </font>
    <font>
      <sz val="11"/>
      <color theme="3" tint="-0.249977111117893"/>
      <name val="Calibri"/>
      <family val="2"/>
      <charset val="161"/>
      <scheme val="minor"/>
    </font>
    <font>
      <b/>
      <sz val="11"/>
      <color theme="2" tint="-0.749992370372631"/>
      <name val="Calibri"/>
      <family val="2"/>
      <charset val="161"/>
      <scheme val="minor"/>
    </font>
    <font>
      <b/>
      <vertAlign val="subscript"/>
      <sz val="11"/>
      <name val="Calibri"/>
      <family val="2"/>
      <charset val="161"/>
      <scheme val="minor"/>
    </font>
    <font>
      <sz val="11"/>
      <color rgb="FF00B050"/>
      <name val="Calibri"/>
      <family val="2"/>
      <charset val="161"/>
      <scheme val="minor"/>
    </font>
    <font>
      <vertAlign val="subscript"/>
      <sz val="11"/>
      <color theme="1"/>
      <name val="Calibri"/>
      <family val="2"/>
      <charset val="161"/>
      <scheme val="minor"/>
    </font>
    <font>
      <i/>
      <sz val="8"/>
      <color theme="5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</font>
    <font>
      <b/>
      <sz val="11"/>
      <color rgb="FF92D050"/>
      <name val="Calibri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</fills>
  <borders count="68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 style="dashed">
        <color indexed="64"/>
      </top>
      <bottom/>
      <diagonal/>
    </border>
    <border>
      <left style="dotted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</borders>
  <cellStyleXfs count="9">
    <xf numFmtId="0" fontId="0" fillId="0" borderId="0"/>
    <xf numFmtId="0" fontId="2" fillId="2" borderId="1">
      <alignment horizontal="left" vertical="center" wrapText="1"/>
    </xf>
    <xf numFmtId="0" fontId="3" fillId="0" borderId="0">
      <alignment horizontal="right" vertical="center"/>
    </xf>
    <xf numFmtId="2" fontId="4" fillId="0" borderId="0">
      <alignment horizontal="center"/>
      <protection locked="0"/>
    </xf>
    <xf numFmtId="0" fontId="5" fillId="0" borderId="0">
      <alignment horizontal="left" vertical="center"/>
    </xf>
    <xf numFmtId="49" fontId="13" fillId="0" borderId="0"/>
    <xf numFmtId="164" fontId="7" fillId="0" borderId="0">
      <alignment horizontal="center" vertical="center"/>
    </xf>
    <xf numFmtId="0" fontId="2" fillId="2" borderId="6">
      <alignment horizontal="center" vertical="center"/>
    </xf>
    <xf numFmtId="0" fontId="14" fillId="6" borderId="5">
      <alignment horizontal="center" vertical="center"/>
    </xf>
  </cellStyleXfs>
  <cellXfs count="160">
    <xf numFmtId="0" fontId="0" fillId="0" borderId="0" xfId="0"/>
    <xf numFmtId="0" fontId="2" fillId="2" borderId="6" xfId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2" borderId="6" xfId="1" applyBorder="1" applyAlignment="1">
      <alignment horizontal="center" vertical="center" wrapText="1"/>
    </xf>
    <xf numFmtId="0" fontId="2" fillId="2" borderId="16" xfId="1" applyBorder="1" applyAlignment="1">
      <alignment horizontal="center" vertical="center"/>
    </xf>
    <xf numFmtId="2" fontId="9" fillId="5" borderId="17" xfId="3" applyFont="1" applyFill="1" applyBorder="1" applyAlignment="1">
      <alignment horizontal="right" vertical="center"/>
      <protection locked="0"/>
    </xf>
    <xf numFmtId="2" fontId="11" fillId="0" borderId="0" xfId="0" applyNumberFormat="1" applyFont="1" applyAlignment="1">
      <alignment horizontal="center"/>
    </xf>
    <xf numFmtId="0" fontId="2" fillId="2" borderId="0" xfId="1" applyBorder="1" applyAlignment="1">
      <alignment horizontal="center" vertical="center"/>
    </xf>
    <xf numFmtId="164" fontId="9" fillId="5" borderId="17" xfId="3" applyNumberFormat="1" applyFont="1" applyFill="1" applyBorder="1" applyAlignment="1">
      <alignment horizontal="right" vertical="center"/>
      <protection locked="0"/>
    </xf>
    <xf numFmtId="0" fontId="0" fillId="0" borderId="0" xfId="0" applyFont="1"/>
    <xf numFmtId="0" fontId="0" fillId="0" borderId="0" xfId="0" applyFont="1" applyAlignment="1">
      <alignment horizontal="right"/>
    </xf>
    <xf numFmtId="49" fontId="6" fillId="0" borderId="0" xfId="5" applyFont="1" applyAlignment="1">
      <alignment vertical="center"/>
    </xf>
    <xf numFmtId="0" fontId="3" fillId="0" borderId="0" xfId="2" applyFont="1" applyAlignment="1">
      <alignment horizontal="right" vertical="center"/>
    </xf>
    <xf numFmtId="2" fontId="4" fillId="0" borderId="1" xfId="3" applyFont="1" applyBorder="1" applyAlignment="1">
      <alignment horizontal="right" vertical="center"/>
      <protection locked="0"/>
    </xf>
    <xf numFmtId="165" fontId="7" fillId="0" borderId="0" xfId="6" applyNumberFormat="1" applyFont="1" applyAlignment="1">
      <alignment horizontal="center" vertical="center"/>
    </xf>
    <xf numFmtId="164" fontId="7" fillId="0" borderId="0" xfId="6" applyFo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2" fontId="4" fillId="0" borderId="0" xfId="3" applyFont="1" applyAlignment="1">
      <alignment horizontal="right" vertical="center"/>
      <protection locked="0"/>
    </xf>
    <xf numFmtId="2" fontId="7" fillId="0" borderId="0" xfId="6" applyNumberFormat="1" applyFont="1" applyAlignment="1">
      <alignment horizontal="right" vertical="center"/>
    </xf>
    <xf numFmtId="2" fontId="0" fillId="0" borderId="0" xfId="0" applyNumberFormat="1" applyFont="1"/>
    <xf numFmtId="0" fontId="3" fillId="0" borderId="0" xfId="2" applyFont="1" applyFill="1" applyAlignment="1">
      <alignment horizontal="right" vertical="center"/>
    </xf>
    <xf numFmtId="165" fontId="7" fillId="0" borderId="0" xfId="6" applyNumberFormat="1" applyFont="1" applyAlignment="1">
      <alignment horizontal="right" vertical="center"/>
    </xf>
    <xf numFmtId="0" fontId="0" fillId="0" borderId="21" xfId="0" applyBorder="1" applyAlignment="1">
      <alignment horizontal="center" vertical="center"/>
    </xf>
    <xf numFmtId="49" fontId="13" fillId="0" borderId="0" xfId="5"/>
    <xf numFmtId="0" fontId="3" fillId="0" borderId="0" xfId="2" applyFont="1">
      <alignment horizontal="right" vertical="center"/>
    </xf>
    <xf numFmtId="2" fontId="4" fillId="0" borderId="0" xfId="3" applyFont="1">
      <alignment horizontal="center"/>
      <protection locked="0"/>
    </xf>
    <xf numFmtId="0" fontId="2" fillId="2" borderId="2" xfId="7" applyFont="1" applyBorder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ill="1" applyBorder="1"/>
    <xf numFmtId="164" fontId="7" fillId="0" borderId="0" xfId="6">
      <alignment horizontal="center" vertical="center"/>
    </xf>
    <xf numFmtId="2" fontId="7" fillId="0" borderId="0" xfId="6" applyNumberFormat="1" applyFont="1">
      <alignment horizontal="center" vertical="center"/>
    </xf>
    <xf numFmtId="2" fontId="7" fillId="0" borderId="0" xfId="6" applyNumberFormat="1">
      <alignment horizontal="center" vertical="center"/>
    </xf>
    <xf numFmtId="0" fontId="2" fillId="2" borderId="16" xfId="7" applyFont="1" applyBorder="1">
      <alignment horizontal="center" vertical="center"/>
    </xf>
    <xf numFmtId="0" fontId="2" fillId="2" borderId="26" xfId="7" applyFont="1" applyBorder="1" applyAlignment="1">
      <alignment vertical="center"/>
    </xf>
    <xf numFmtId="0" fontId="2" fillId="2" borderId="27" xfId="7" applyFont="1" applyBorder="1" applyAlignment="1">
      <alignment vertical="center"/>
    </xf>
    <xf numFmtId="0" fontId="2" fillId="2" borderId="28" xfId="7" applyFont="1" applyBorder="1" applyAlignment="1">
      <alignment horizontal="center" vertical="center" wrapText="1"/>
    </xf>
    <xf numFmtId="0" fontId="2" fillId="2" borderId="29" xfId="7" applyFont="1" applyBorder="1" applyAlignment="1">
      <alignment horizontal="center" vertical="center" wrapText="1"/>
    </xf>
    <xf numFmtId="165" fontId="7" fillId="0" borderId="30" xfId="6" applyNumberFormat="1" applyFont="1" applyBorder="1" applyAlignment="1">
      <alignment horizontal="center" vertical="center"/>
    </xf>
    <xf numFmtId="165" fontId="7" fillId="0" borderId="31" xfId="6" applyNumberFormat="1" applyFont="1" applyBorder="1" applyAlignment="1">
      <alignment horizontal="center" vertical="center"/>
    </xf>
    <xf numFmtId="165" fontId="7" fillId="0" borderId="32" xfId="6" applyNumberFormat="1" applyFont="1" applyBorder="1" applyAlignment="1">
      <alignment horizontal="center" vertical="center"/>
    </xf>
    <xf numFmtId="165" fontId="7" fillId="0" borderId="33" xfId="6" applyNumberFormat="1" applyFont="1" applyBorder="1" applyAlignment="1">
      <alignment horizontal="center" vertical="center"/>
    </xf>
    <xf numFmtId="165" fontId="7" fillId="0" borderId="14" xfId="6" applyNumberFormat="1" applyFont="1" applyBorder="1" applyAlignment="1">
      <alignment horizontal="center" vertical="center"/>
    </xf>
    <xf numFmtId="165" fontId="7" fillId="0" borderId="34" xfId="6" applyNumberFormat="1" applyFont="1" applyBorder="1" applyAlignment="1">
      <alignment horizontal="center" vertical="center"/>
    </xf>
    <xf numFmtId="165" fontId="7" fillId="0" borderId="35" xfId="6" applyNumberFormat="1" applyFont="1" applyBorder="1" applyAlignment="1">
      <alignment horizontal="center" vertical="center"/>
    </xf>
    <xf numFmtId="165" fontId="7" fillId="0" borderId="36" xfId="6" applyNumberFormat="1" applyFont="1" applyBorder="1" applyAlignment="1">
      <alignment horizontal="center" vertical="center"/>
    </xf>
    <xf numFmtId="165" fontId="7" fillId="0" borderId="37" xfId="6" applyNumberFormat="1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2" fillId="2" borderId="38" xfId="7" applyFont="1" applyBorder="1" applyAlignment="1">
      <alignment horizontal="center" vertical="center" wrapText="1"/>
    </xf>
    <xf numFmtId="0" fontId="2" fillId="2" borderId="16" xfId="7" applyFont="1" applyBorder="1" applyAlignment="1">
      <alignment horizontal="center" vertical="center" wrapText="1"/>
    </xf>
    <xf numFmtId="0" fontId="2" fillId="2" borderId="39" xfId="7" applyFont="1" applyBorder="1" applyAlignment="1">
      <alignment horizontal="center" vertical="center" wrapText="1"/>
    </xf>
    <xf numFmtId="165" fontId="7" fillId="0" borderId="40" xfId="6" applyNumberFormat="1" applyFont="1" applyBorder="1" applyAlignment="1">
      <alignment horizontal="center" vertical="center"/>
    </xf>
    <xf numFmtId="165" fontId="7" fillId="0" borderId="41" xfId="6" applyNumberFormat="1" applyFont="1" applyBorder="1" applyAlignment="1">
      <alignment horizontal="center" vertical="center"/>
    </xf>
    <xf numFmtId="165" fontId="7" fillId="0" borderId="42" xfId="6" applyNumberFormat="1" applyFont="1" applyBorder="1" applyAlignment="1">
      <alignment horizontal="center" vertical="center"/>
    </xf>
    <xf numFmtId="0" fontId="5" fillId="0" borderId="0" xfId="4" applyAlignment="1">
      <alignment horizontal="center" vertical="center"/>
    </xf>
    <xf numFmtId="165" fontId="7" fillId="0" borderId="0" xfId="6" applyNumberFormat="1" applyFont="1">
      <alignment horizontal="center" vertical="center"/>
    </xf>
    <xf numFmtId="0" fontId="14" fillId="6" borderId="5" xfId="8">
      <alignment horizontal="center" vertical="center"/>
    </xf>
    <xf numFmtId="0" fontId="5" fillId="0" borderId="0" xfId="4" applyFill="1" applyAlignment="1">
      <alignment horizontal="center" vertical="center"/>
    </xf>
    <xf numFmtId="2" fontId="4" fillId="0" borderId="0" xfId="3" applyBorder="1" applyAlignment="1">
      <alignment horizontal="center" vertical="center"/>
      <protection locked="0"/>
    </xf>
    <xf numFmtId="1" fontId="4" fillId="0" borderId="0" xfId="3" applyNumberFormat="1" applyBorder="1" applyAlignment="1">
      <alignment horizontal="center" vertical="center"/>
      <protection locked="0"/>
    </xf>
    <xf numFmtId="2" fontId="4" fillId="0" borderId="0" xfId="3">
      <alignment horizontal="center"/>
      <protection locked="0"/>
    </xf>
    <xf numFmtId="0" fontId="5" fillId="0" borderId="0" xfId="4" applyFill="1" applyBorder="1" applyAlignment="1">
      <alignment horizontal="center" vertical="center"/>
    </xf>
    <xf numFmtId="165" fontId="7" fillId="0" borderId="0" xfId="6" applyNumberFormat="1">
      <alignment horizontal="center" vertical="center"/>
    </xf>
    <xf numFmtId="0" fontId="14" fillId="6" borderId="15" xfId="8" applyBorder="1">
      <alignment horizontal="center" vertical="center"/>
    </xf>
    <xf numFmtId="2" fontId="7" fillId="0" borderId="44" xfId="6" applyNumberFormat="1" applyBorder="1">
      <alignment horizontal="center" vertical="center"/>
    </xf>
    <xf numFmtId="0" fontId="14" fillId="6" borderId="45" xfId="8" applyBorder="1">
      <alignment horizontal="center" vertical="center"/>
    </xf>
    <xf numFmtId="2" fontId="7" fillId="0" borderId="46" xfId="6" applyNumberFormat="1" applyBorder="1">
      <alignment horizontal="center" vertical="center"/>
    </xf>
    <xf numFmtId="0" fontId="14" fillId="6" borderId="47" xfId="8" applyBorder="1">
      <alignment horizontal="center" vertical="center"/>
    </xf>
    <xf numFmtId="2" fontId="7" fillId="0" borderId="48" xfId="6" applyNumberFormat="1" applyBorder="1">
      <alignment horizontal="center" vertical="center"/>
    </xf>
    <xf numFmtId="0" fontId="2" fillId="2" borderId="49" xfId="1" applyBorder="1" applyAlignment="1">
      <alignment horizontal="center" vertical="center" wrapText="1"/>
    </xf>
    <xf numFmtId="0" fontId="0" fillId="0" borderId="50" xfId="0" applyBorder="1"/>
    <xf numFmtId="164" fontId="7" fillId="0" borderId="50" xfId="6" applyBorder="1">
      <alignment horizontal="center" vertical="center"/>
    </xf>
    <xf numFmtId="164" fontId="7" fillId="0" borderId="51" xfId="6" applyBorder="1">
      <alignment horizontal="center" vertical="center"/>
    </xf>
    <xf numFmtId="0" fontId="14" fillId="6" borderId="47" xfId="8" applyBorder="1" applyAlignment="1">
      <alignment horizontal="right" vertical="center"/>
    </xf>
    <xf numFmtId="0" fontId="14" fillId="6" borderId="45" xfId="8" applyBorder="1" applyAlignment="1">
      <alignment horizontal="right" vertical="center"/>
    </xf>
    <xf numFmtId="0" fontId="0" fillId="0" borderId="52" xfId="0" applyBorder="1"/>
    <xf numFmtId="0" fontId="5" fillId="0" borderId="0" xfId="4" applyBorder="1" applyAlignment="1">
      <alignment horizontal="center" vertical="center"/>
    </xf>
    <xf numFmtId="0" fontId="5" fillId="0" borderId="48" xfId="4" applyFill="1" applyBorder="1" applyAlignment="1">
      <alignment horizontal="center" vertical="center"/>
    </xf>
    <xf numFmtId="2" fontId="4" fillId="0" borderId="0" xfId="3" applyBorder="1">
      <alignment horizontal="center"/>
      <protection locked="0"/>
    </xf>
    <xf numFmtId="165" fontId="7" fillId="0" borderId="0" xfId="6" applyNumberFormat="1" applyBorder="1">
      <alignment horizontal="center" vertical="center"/>
    </xf>
    <xf numFmtId="165" fontId="7" fillId="0" borderId="48" xfId="6" applyNumberFormat="1" applyBorder="1">
      <alignment horizontal="center" vertical="center"/>
    </xf>
    <xf numFmtId="0" fontId="0" fillId="0" borderId="0" xfId="0" applyBorder="1"/>
    <xf numFmtId="0" fontId="0" fillId="0" borderId="48" xfId="0" applyBorder="1"/>
    <xf numFmtId="0" fontId="14" fillId="6" borderId="0" xfId="8" applyBorder="1">
      <alignment horizontal="center" vertical="center"/>
    </xf>
    <xf numFmtId="164" fontId="7" fillId="0" borderId="0" xfId="6" applyBorder="1">
      <alignment horizontal="center" vertical="center"/>
    </xf>
    <xf numFmtId="2" fontId="7" fillId="0" borderId="0" xfId="6" applyNumberFormat="1" applyBorder="1">
      <alignment horizontal="center" vertical="center"/>
    </xf>
    <xf numFmtId="0" fontId="14" fillId="6" borderId="54" xfId="8" applyBorder="1">
      <alignment horizontal="center" vertical="center"/>
    </xf>
    <xf numFmtId="0" fontId="14" fillId="6" borderId="56" xfId="8" applyBorder="1">
      <alignment horizontal="center" vertical="center"/>
    </xf>
    <xf numFmtId="0" fontId="5" fillId="0" borderId="52" xfId="4" applyFill="1" applyBorder="1" applyAlignment="1">
      <alignment horizontal="center" vertical="center"/>
    </xf>
    <xf numFmtId="165" fontId="7" fillId="0" borderId="52" xfId="6" applyNumberFormat="1" applyBorder="1">
      <alignment horizontal="center" vertical="center"/>
    </xf>
    <xf numFmtId="164" fontId="7" fillId="0" borderId="46" xfId="6" applyBorder="1">
      <alignment horizontal="center" vertical="center"/>
    </xf>
    <xf numFmtId="164" fontId="7" fillId="0" borderId="49" xfId="6" applyBorder="1">
      <alignment horizontal="center" vertical="center"/>
    </xf>
    <xf numFmtId="165" fontId="0" fillId="0" borderId="0" xfId="0" applyNumberFormat="1"/>
    <xf numFmtId="0" fontId="5" fillId="0" borderId="0" xfId="4">
      <alignment horizontal="left" vertical="center"/>
    </xf>
    <xf numFmtId="0" fontId="14" fillId="6" borderId="12" xfId="8" applyBorder="1">
      <alignment horizontal="center" vertical="center"/>
    </xf>
    <xf numFmtId="167" fontId="7" fillId="0" borderId="52" xfId="6" applyNumberFormat="1" applyBorder="1" applyAlignment="1">
      <alignment horizontal="right" vertical="center"/>
    </xf>
    <xf numFmtId="167" fontId="7" fillId="0" borderId="0" xfId="6" applyNumberFormat="1" applyBorder="1" applyAlignment="1">
      <alignment horizontal="right" vertical="center"/>
    </xf>
    <xf numFmtId="2" fontId="7" fillId="0" borderId="0" xfId="6" applyNumberFormat="1" applyBorder="1" applyAlignment="1">
      <alignment horizontal="right" vertical="center"/>
    </xf>
    <xf numFmtId="164" fontId="7" fillId="0" borderId="48" xfId="6" applyBorder="1">
      <alignment horizontal="center" vertical="center"/>
    </xf>
    <xf numFmtId="0" fontId="0" fillId="0" borderId="57" xfId="0" applyBorder="1"/>
    <xf numFmtId="0" fontId="0" fillId="0" borderId="46" xfId="0" applyBorder="1"/>
    <xf numFmtId="164" fontId="7" fillId="0" borderId="44" xfId="6" applyBorder="1">
      <alignment horizontal="center" vertical="center"/>
    </xf>
    <xf numFmtId="0" fontId="14" fillId="6" borderId="5" xfId="8" applyBorder="1" applyAlignment="1">
      <alignment horizontal="right" vertical="center"/>
    </xf>
    <xf numFmtId="0" fontId="5" fillId="0" borderId="48" xfId="4" applyBorder="1">
      <alignment horizontal="left" vertical="center"/>
    </xf>
    <xf numFmtId="0" fontId="14" fillId="6" borderId="59" xfId="8" applyBorder="1" applyAlignment="1">
      <alignment horizontal="right" vertical="center"/>
    </xf>
    <xf numFmtId="0" fontId="5" fillId="0" borderId="46" xfId="4" applyBorder="1">
      <alignment horizontal="left" vertical="center"/>
    </xf>
    <xf numFmtId="165" fontId="7" fillId="0" borderId="0" xfId="6" applyNumberFormat="1" applyBorder="1" applyAlignment="1">
      <alignment horizontal="right" vertical="center"/>
    </xf>
    <xf numFmtId="2" fontId="15" fillId="0" borderId="48" xfId="6" applyNumberFormat="1" applyFont="1" applyBorder="1">
      <alignment horizontal="center" vertical="center"/>
    </xf>
    <xf numFmtId="2" fontId="15" fillId="0" borderId="46" xfId="6" applyNumberFormat="1" applyFont="1" applyBorder="1">
      <alignment horizontal="center" vertical="center"/>
    </xf>
    <xf numFmtId="0" fontId="0" fillId="0" borderId="49" xfId="0" applyBorder="1"/>
    <xf numFmtId="2" fontId="7" fillId="0" borderId="52" xfId="6" applyNumberFormat="1" applyBorder="1">
      <alignment horizontal="center" vertical="center"/>
    </xf>
    <xf numFmtId="0" fontId="14" fillId="6" borderId="43" xfId="8" applyBorder="1" applyAlignment="1">
      <alignment horizontal="right" vertical="center"/>
    </xf>
    <xf numFmtId="0" fontId="14" fillId="6" borderId="53" xfId="8" applyBorder="1" applyAlignment="1">
      <alignment horizontal="right" vertical="center"/>
    </xf>
    <xf numFmtId="0" fontId="14" fillId="6" borderId="60" xfId="8" applyBorder="1">
      <alignment horizontal="center" vertical="center"/>
    </xf>
    <xf numFmtId="0" fontId="14" fillId="6" borderId="61" xfId="8" applyBorder="1">
      <alignment horizontal="center" vertical="center"/>
    </xf>
    <xf numFmtId="0" fontId="14" fillId="6" borderId="62" xfId="8" applyBorder="1">
      <alignment horizontal="center" vertical="center"/>
    </xf>
    <xf numFmtId="0" fontId="0" fillId="0" borderId="63" xfId="0" applyBorder="1"/>
    <xf numFmtId="0" fontId="0" fillId="0" borderId="64" xfId="0" applyBorder="1"/>
    <xf numFmtId="0" fontId="5" fillId="0" borderId="65" xfId="4" applyFill="1" applyBorder="1" applyAlignment="1">
      <alignment horizontal="center" vertical="center"/>
    </xf>
    <xf numFmtId="166" fontId="7" fillId="0" borderId="65" xfId="6" applyNumberFormat="1" applyBorder="1">
      <alignment horizontal="center" vertical="center"/>
    </xf>
    <xf numFmtId="0" fontId="0" fillId="0" borderId="65" xfId="0" applyBorder="1"/>
    <xf numFmtId="0" fontId="14" fillId="6" borderId="5" xfId="8" applyAlignment="1">
      <alignment vertical="center"/>
    </xf>
    <xf numFmtId="2" fontId="16" fillId="0" borderId="48" xfId="6" applyNumberFormat="1" applyFont="1" applyBorder="1">
      <alignment horizontal="center" vertical="center"/>
    </xf>
    <xf numFmtId="2" fontId="16" fillId="0" borderId="46" xfId="6" applyNumberFormat="1" applyFont="1" applyBorder="1">
      <alignment horizontal="center" vertical="center"/>
    </xf>
    <xf numFmtId="0" fontId="5" fillId="0" borderId="52" xfId="4" applyBorder="1" applyAlignment="1">
      <alignment horizontal="center" vertical="center"/>
    </xf>
    <xf numFmtId="0" fontId="5" fillId="0" borderId="48" xfId="4" applyBorder="1" applyAlignment="1">
      <alignment horizontal="center" vertical="center"/>
    </xf>
    <xf numFmtId="0" fontId="2" fillId="2" borderId="0" xfId="1" applyBorder="1">
      <alignment horizontal="left" vertical="center" wrapText="1"/>
    </xf>
    <xf numFmtId="2" fontId="4" fillId="0" borderId="52" xfId="3" applyBorder="1">
      <alignment horizontal="center"/>
      <protection locked="0"/>
    </xf>
    <xf numFmtId="2" fontId="4" fillId="0" borderId="48" xfId="3" applyBorder="1">
      <alignment horizontal="center"/>
      <protection locked="0"/>
    </xf>
    <xf numFmtId="0" fontId="2" fillId="3" borderId="2" xfId="1" applyFill="1" applyBorder="1" applyAlignment="1">
      <alignment horizontal="center" vertical="center"/>
    </xf>
    <xf numFmtId="0" fontId="2" fillId="3" borderId="4" xfId="1" applyFill="1" applyBorder="1" applyAlignment="1">
      <alignment horizontal="center" vertical="center"/>
    </xf>
    <xf numFmtId="0" fontId="2" fillId="3" borderId="3" xfId="1" applyFill="1" applyBorder="1" applyAlignment="1">
      <alignment horizontal="center" vertical="center"/>
    </xf>
    <xf numFmtId="0" fontId="2" fillId="3" borderId="18" xfId="1" applyFill="1" applyBorder="1" applyAlignment="1">
      <alignment horizontal="center" vertical="center"/>
    </xf>
    <xf numFmtId="0" fontId="2" fillId="3" borderId="0" xfId="1" applyFill="1" applyBorder="1" applyAlignment="1">
      <alignment horizontal="center" vertical="center"/>
    </xf>
    <xf numFmtId="0" fontId="2" fillId="3" borderId="19" xfId="1" applyFill="1" applyBorder="1" applyAlignment="1">
      <alignment horizontal="center" vertical="center"/>
    </xf>
    <xf numFmtId="0" fontId="2" fillId="3" borderId="20" xfId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4" borderId="0" xfId="0" applyFont="1" applyFill="1" applyAlignment="1">
      <alignment horizontal="center" vertical="center" textRotation="90"/>
    </xf>
    <xf numFmtId="0" fontId="2" fillId="2" borderId="16" xfId="1" applyFont="1" applyBorder="1" applyAlignment="1">
      <alignment horizontal="center" vertical="center" wrapText="1"/>
    </xf>
    <xf numFmtId="0" fontId="2" fillId="2" borderId="22" xfId="1" applyFont="1" applyBorder="1" applyAlignment="1">
      <alignment horizontal="center" vertical="center" wrapText="1"/>
    </xf>
    <xf numFmtId="0" fontId="2" fillId="2" borderId="23" xfId="1" applyFont="1" applyBorder="1" applyAlignment="1">
      <alignment horizontal="center" vertical="center" wrapText="1"/>
    </xf>
    <xf numFmtId="0" fontId="2" fillId="2" borderId="24" xfId="7" applyFont="1" applyBorder="1" applyAlignment="1">
      <alignment horizontal="center" vertical="center"/>
    </xf>
    <xf numFmtId="0" fontId="2" fillId="2" borderId="25" xfId="7" applyFont="1" applyBorder="1" applyAlignment="1">
      <alignment horizontal="center" vertical="center"/>
    </xf>
    <xf numFmtId="0" fontId="14" fillId="6" borderId="43" xfId="8" applyBorder="1">
      <alignment horizontal="center" vertical="center"/>
    </xf>
    <xf numFmtId="0" fontId="14" fillId="6" borderId="58" xfId="8" applyBorder="1">
      <alignment horizontal="center" vertical="center"/>
    </xf>
    <xf numFmtId="0" fontId="0" fillId="0" borderId="55" xfId="0" applyBorder="1" applyAlignment="1">
      <alignment horizontal="center"/>
    </xf>
    <xf numFmtId="0" fontId="2" fillId="2" borderId="66" xfId="1" applyBorder="1" applyAlignment="1">
      <alignment horizontal="center" vertical="center" wrapText="1"/>
    </xf>
    <xf numFmtId="0" fontId="2" fillId="2" borderId="67" xfId="1" applyBorder="1" applyAlignment="1">
      <alignment horizontal="center" vertical="center" wrapText="1"/>
    </xf>
    <xf numFmtId="0" fontId="2" fillId="2" borderId="50" xfId="1" applyBorder="1" applyAlignment="1">
      <alignment horizontal="center" vertical="center" wrapText="1"/>
    </xf>
    <xf numFmtId="0" fontId="2" fillId="2" borderId="51" xfId="1" applyBorder="1" applyAlignment="1">
      <alignment horizontal="center" vertical="center" wrapText="1"/>
    </xf>
    <xf numFmtId="0" fontId="2" fillId="2" borderId="49" xfId="1" applyBorder="1" applyAlignment="1">
      <alignment horizontal="center" vertical="center" wrapText="1"/>
    </xf>
  </cellXfs>
  <cellStyles count="9">
    <cellStyle name="Normal" xfId="0" builtinId="0"/>
    <cellStyle name="Style 1" xfId="7"/>
    <cellStyle name="Αποτελέσματα" xfId="6"/>
    <cellStyle name="Δεδομένα από χρήστη" xfId="3"/>
    <cellStyle name="Επικεφαλίδα 3" xfId="1"/>
    <cellStyle name="Επικεφαλίδα 4" xfId="8"/>
    <cellStyle name="Μονάδες" xfId="4"/>
    <cellStyle name="Σημειώσεις" xfId="5"/>
    <cellStyle name="Στοιχείο υπολογιμού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EC8</a:t>
            </a:r>
            <a:r>
              <a:rPr lang="el-GR" sz="1100"/>
              <a:t> </a:t>
            </a:r>
            <a:r>
              <a:rPr lang="en-US" sz="1100"/>
              <a:t>Elastic</a:t>
            </a:r>
            <a:r>
              <a:rPr lang="en-US" sz="1100" baseline="0"/>
              <a:t> Response</a:t>
            </a:r>
            <a:r>
              <a:rPr lang="en-US" sz="1100"/>
              <a:t> Horizontal - [S/ag]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OUTPUT!$C$3</c:f>
              <c:strCache>
                <c:ptCount val="1"/>
                <c:pt idx="0">
                  <c:v>NC_Hor_Se(T)/ag, Type 2,Σ2,A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OUTPUT!$C$4:$C$47</c:f>
              <c:numCache>
                <c:formatCode>0.000</c:formatCode>
                <c:ptCount val="44"/>
                <c:pt idx="0">
                  <c:v>1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2.0833333333333335</c:v>
                </c:pt>
                <c:pt idx="7">
                  <c:v>1.7857142857142858</c:v>
                </c:pt>
                <c:pt idx="8">
                  <c:v>1.5625</c:v>
                </c:pt>
                <c:pt idx="9">
                  <c:v>1.3888888888888888</c:v>
                </c:pt>
                <c:pt idx="10">
                  <c:v>1.25</c:v>
                </c:pt>
                <c:pt idx="11">
                  <c:v>1.1363636363636365</c:v>
                </c:pt>
                <c:pt idx="12">
                  <c:v>1.0416666666666667</c:v>
                </c:pt>
                <c:pt idx="13">
                  <c:v>0.96153846153846145</c:v>
                </c:pt>
                <c:pt idx="14">
                  <c:v>0.89285714285714279</c:v>
                </c:pt>
                <c:pt idx="15">
                  <c:v>0.83333333333333315</c:v>
                </c:pt>
                <c:pt idx="16">
                  <c:v>0.78124999999999989</c:v>
                </c:pt>
                <c:pt idx="17">
                  <c:v>0.73529411764705865</c:v>
                </c:pt>
                <c:pt idx="18">
                  <c:v>0.6944444444444442</c:v>
                </c:pt>
                <c:pt idx="19">
                  <c:v>0.65789473684210509</c:v>
                </c:pt>
                <c:pt idx="20">
                  <c:v>0.62499999999999989</c:v>
                </c:pt>
                <c:pt idx="21">
                  <c:v>0.59523809523809512</c:v>
                </c:pt>
                <c:pt idx="22">
                  <c:v>0.56818181818181801</c:v>
                </c:pt>
                <c:pt idx="23">
                  <c:v>0.54347826086956508</c:v>
                </c:pt>
                <c:pt idx="24">
                  <c:v>0.52083333333333315</c:v>
                </c:pt>
                <c:pt idx="25">
                  <c:v>0.47999999999999965</c:v>
                </c:pt>
                <c:pt idx="26">
                  <c:v>0.44378698224852031</c:v>
                </c:pt>
                <c:pt idx="27">
                  <c:v>0.41152263374485565</c:v>
                </c:pt>
                <c:pt idx="28">
                  <c:v>0.38265306122448944</c:v>
                </c:pt>
                <c:pt idx="29">
                  <c:v>0.35671819262782373</c:v>
                </c:pt>
                <c:pt idx="30">
                  <c:v>0.33333333333333304</c:v>
                </c:pt>
                <c:pt idx="31">
                  <c:v>0.31217481789802259</c:v>
                </c:pt>
                <c:pt idx="32">
                  <c:v>0.29296874999999972</c:v>
                </c:pt>
                <c:pt idx="33">
                  <c:v>0.27548209366391152</c:v>
                </c:pt>
                <c:pt idx="34">
                  <c:v>0.25951557093425581</c:v>
                </c:pt>
                <c:pt idx="35">
                  <c:v>0.24489795918367321</c:v>
                </c:pt>
                <c:pt idx="36">
                  <c:v>0.23148148148148123</c:v>
                </c:pt>
                <c:pt idx="37">
                  <c:v>0.21913805697589461</c:v>
                </c:pt>
                <c:pt idx="38">
                  <c:v>0.2077562326869804</c:v>
                </c:pt>
                <c:pt idx="39">
                  <c:v>0.19723865877712007</c:v>
                </c:pt>
                <c:pt idx="40">
                  <c:v>0.18749999999999983</c:v>
                </c:pt>
                <c:pt idx="41">
                  <c:v>0.17846519928613908</c:v>
                </c:pt>
                <c:pt idx="42">
                  <c:v>0.17006802721088426</c:v>
                </c:pt>
                <c:pt idx="43">
                  <c:v>0.1622498647917793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19-400F-997B-A53AEE87A262}"/>
            </c:ext>
          </c:extLst>
        </c:ser>
        <c:ser>
          <c:idx val="1"/>
          <c:order val="1"/>
          <c:tx>
            <c:strRef>
              <c:f>OUTPUT!$D$3</c:f>
              <c:strCache>
                <c:ptCount val="1"/>
                <c:pt idx="0">
                  <c:v>NC_Hor_Sd(T)/ag, Type 2,Σ2,A,q=3.5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OUTPUT!$D$4:$D$47</c:f>
              <c:numCache>
                <c:formatCode>0.000</c:formatCode>
                <c:ptCount val="44"/>
                <c:pt idx="0">
                  <c:v>0.66666666666666663</c:v>
                </c:pt>
                <c:pt idx="1">
                  <c:v>0.7142857142857143</c:v>
                </c:pt>
                <c:pt idx="2">
                  <c:v>0.7142857142857143</c:v>
                </c:pt>
                <c:pt idx="3">
                  <c:v>0.7142857142857143</c:v>
                </c:pt>
                <c:pt idx="4">
                  <c:v>0.7142857142857143</c:v>
                </c:pt>
                <c:pt idx="5">
                  <c:v>0.7142857142857143</c:v>
                </c:pt>
                <c:pt idx="6">
                  <c:v>0.59523809523809523</c:v>
                </c:pt>
                <c:pt idx="7">
                  <c:v>0.51020408163265307</c:v>
                </c:pt>
                <c:pt idx="8">
                  <c:v>0.44642857142857145</c:v>
                </c:pt>
                <c:pt idx="9">
                  <c:v>0.39682539682539686</c:v>
                </c:pt>
                <c:pt idx="10">
                  <c:v>0.35714285714285715</c:v>
                </c:pt>
                <c:pt idx="11">
                  <c:v>0.32467532467532473</c:v>
                </c:pt>
                <c:pt idx="12">
                  <c:v>0.29761904761904762</c:v>
                </c:pt>
                <c:pt idx="13">
                  <c:v>0.27472527472527469</c:v>
                </c:pt>
                <c:pt idx="14">
                  <c:v>0.25510204081632648</c:v>
                </c:pt>
                <c:pt idx="15">
                  <c:v>0.23809523809523805</c:v>
                </c:pt>
                <c:pt idx="16">
                  <c:v>0.22321428571428567</c:v>
                </c:pt>
                <c:pt idx="17">
                  <c:v>0.21008403361344535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19-400F-997B-A53AEE87A262}"/>
            </c:ext>
          </c:extLst>
        </c:ser>
        <c:ser>
          <c:idx val="2"/>
          <c:order val="2"/>
          <c:tx>
            <c:strRef>
              <c:f>OUTPUT!$E$3</c:f>
              <c:strCache>
                <c:ptCount val="1"/>
                <c:pt idx="0">
                  <c:v>DL_Hor_Se(T)/ag, Type 2,Σ2,A</c:v>
                </c:pt>
              </c:strCache>
            </c:strRef>
          </c:tx>
          <c:spPr>
            <a:ln>
              <a:solidFill>
                <a:srgbClr val="92D050"/>
              </a:solidFill>
              <a:prstDash val="dash"/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OUTPUT!$E$4:$E$47</c:f>
              <c:numCache>
                <c:formatCode>0.000</c:formatCode>
                <c:ptCount val="44"/>
                <c:pt idx="0">
                  <c:v>0.5</c:v>
                </c:pt>
                <c:pt idx="1">
                  <c:v>1.25</c:v>
                </c:pt>
                <c:pt idx="2">
                  <c:v>1.25</c:v>
                </c:pt>
                <c:pt idx="3">
                  <c:v>1.25</c:v>
                </c:pt>
                <c:pt idx="4">
                  <c:v>1.25</c:v>
                </c:pt>
                <c:pt idx="5">
                  <c:v>1.25</c:v>
                </c:pt>
                <c:pt idx="6">
                  <c:v>1.0416666666666667</c:v>
                </c:pt>
                <c:pt idx="7">
                  <c:v>0.8928571428571429</c:v>
                </c:pt>
                <c:pt idx="8">
                  <c:v>0.78125</c:v>
                </c:pt>
                <c:pt idx="9">
                  <c:v>0.69444444444444442</c:v>
                </c:pt>
                <c:pt idx="10">
                  <c:v>0.625</c:v>
                </c:pt>
                <c:pt idx="11">
                  <c:v>0.56818181818181823</c:v>
                </c:pt>
                <c:pt idx="12">
                  <c:v>0.52083333333333337</c:v>
                </c:pt>
                <c:pt idx="13">
                  <c:v>0.48076923076923073</c:v>
                </c:pt>
                <c:pt idx="14">
                  <c:v>0.4464285714285714</c:v>
                </c:pt>
                <c:pt idx="15">
                  <c:v>0.41666666666666657</c:v>
                </c:pt>
                <c:pt idx="16">
                  <c:v>0.39062499999999994</c:v>
                </c:pt>
                <c:pt idx="17">
                  <c:v>0.36764705882352933</c:v>
                </c:pt>
                <c:pt idx="18">
                  <c:v>0.3472222222222221</c:v>
                </c:pt>
                <c:pt idx="19">
                  <c:v>0.32894736842105254</c:v>
                </c:pt>
                <c:pt idx="20">
                  <c:v>0.31249999999999994</c:v>
                </c:pt>
                <c:pt idx="21">
                  <c:v>0.29761904761904756</c:v>
                </c:pt>
                <c:pt idx="22">
                  <c:v>0.28409090909090901</c:v>
                </c:pt>
                <c:pt idx="23">
                  <c:v>0.27173913043478254</c:v>
                </c:pt>
                <c:pt idx="24">
                  <c:v>0.26041666666666657</c:v>
                </c:pt>
                <c:pt idx="25">
                  <c:v>0.23999999999999982</c:v>
                </c:pt>
                <c:pt idx="26">
                  <c:v>0.22189349112426016</c:v>
                </c:pt>
                <c:pt idx="27">
                  <c:v>0.20576131687242782</c:v>
                </c:pt>
                <c:pt idx="28">
                  <c:v>0.19132653061224472</c:v>
                </c:pt>
                <c:pt idx="29">
                  <c:v>0.17835909631391186</c:v>
                </c:pt>
                <c:pt idx="30">
                  <c:v>0.16666666666666652</c:v>
                </c:pt>
                <c:pt idx="31">
                  <c:v>0.1560874089490113</c:v>
                </c:pt>
                <c:pt idx="32">
                  <c:v>0.14648437499999986</c:v>
                </c:pt>
                <c:pt idx="33">
                  <c:v>0.13774104683195576</c:v>
                </c:pt>
                <c:pt idx="34">
                  <c:v>0.12975778546712791</c:v>
                </c:pt>
                <c:pt idx="35">
                  <c:v>0.12244897959183661</c:v>
                </c:pt>
                <c:pt idx="36">
                  <c:v>0.11574074074074062</c:v>
                </c:pt>
                <c:pt idx="37">
                  <c:v>0.10956902848794731</c:v>
                </c:pt>
                <c:pt idx="38">
                  <c:v>0.1038781163434902</c:v>
                </c:pt>
                <c:pt idx="39">
                  <c:v>9.8619329388560037E-2</c:v>
                </c:pt>
                <c:pt idx="40">
                  <c:v>9.3749999999999917E-2</c:v>
                </c:pt>
                <c:pt idx="41">
                  <c:v>8.9232599643069538E-2</c:v>
                </c:pt>
                <c:pt idx="42">
                  <c:v>8.5034013605442132E-2</c:v>
                </c:pt>
                <c:pt idx="43">
                  <c:v>8.1124932395889651E-2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819-400F-997B-A53AEE87A262}"/>
            </c:ext>
          </c:extLst>
        </c:ser>
        <c:ser>
          <c:idx val="3"/>
          <c:order val="3"/>
          <c:tx>
            <c:strRef>
              <c:f>OUTPUT!$F$3</c:f>
              <c:strCache>
                <c:ptCount val="1"/>
                <c:pt idx="0">
                  <c:v>DL_Hor_Sd(T)/ag, Type 2,Σ2,A,q=3.5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OUTPUT!$F$4:$F$47</c:f>
              <c:numCache>
                <c:formatCode>0.000</c:formatCode>
                <c:ptCount val="44"/>
                <c:pt idx="0">
                  <c:v>0.33333333333333331</c:v>
                </c:pt>
                <c:pt idx="1">
                  <c:v>0.35714285714285715</c:v>
                </c:pt>
                <c:pt idx="2">
                  <c:v>0.35714285714285715</c:v>
                </c:pt>
                <c:pt idx="3">
                  <c:v>0.35714285714285715</c:v>
                </c:pt>
                <c:pt idx="4">
                  <c:v>0.35714285714285715</c:v>
                </c:pt>
                <c:pt idx="5">
                  <c:v>0.35714285714285715</c:v>
                </c:pt>
                <c:pt idx="6">
                  <c:v>0.29761904761904762</c:v>
                </c:pt>
                <c:pt idx="7">
                  <c:v>0.25510204081632654</c:v>
                </c:pt>
                <c:pt idx="8">
                  <c:v>0.22321428571428573</c:v>
                </c:pt>
                <c:pt idx="9">
                  <c:v>0.19841269841269843</c:v>
                </c:pt>
                <c:pt idx="10">
                  <c:v>0.17857142857142858</c:v>
                </c:pt>
                <c:pt idx="11">
                  <c:v>0.16233766233766236</c:v>
                </c:pt>
                <c:pt idx="12">
                  <c:v>0.14880952380952381</c:v>
                </c:pt>
                <c:pt idx="13">
                  <c:v>0.13736263736263735</c:v>
                </c:pt>
                <c:pt idx="14">
                  <c:v>0.12755102040816324</c:v>
                </c:pt>
                <c:pt idx="15">
                  <c:v>0.11904761904761903</c:v>
                </c:pt>
                <c:pt idx="16">
                  <c:v>0.11160714285714284</c:v>
                </c:pt>
                <c:pt idx="17">
                  <c:v>0.10504201680672268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819-400F-997B-A53AEE87A262}"/>
            </c:ext>
          </c:extLst>
        </c:ser>
        <c:ser>
          <c:idx val="4"/>
          <c:order val="4"/>
          <c:tx>
            <c:v>Point 1</c:v>
          </c:tx>
          <c:marker>
            <c:symbol val="circle"/>
            <c:size val="7"/>
            <c:spPr>
              <a:solidFill>
                <a:srgbClr val="4F81BD">
                  <a:alpha val="72000"/>
                </a:srgb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xVal>
            <c:numRef>
              <c:f>'EC8-GR'!$D$25</c:f>
              <c:numCache>
                <c:formatCode>0.00</c:formatCode>
                <c:ptCount val="1"/>
                <c:pt idx="0">
                  <c:v>0.5</c:v>
                </c:pt>
              </c:numCache>
            </c:numRef>
          </c:xVal>
          <c:yVal>
            <c:numRef>
              <c:f>'EC8-GR'!$D$28</c:f>
              <c:numCache>
                <c:formatCode>0.00</c:formatCode>
                <c:ptCount val="1"/>
                <c:pt idx="0">
                  <c:v>1.25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819-400F-997B-A53AEE87A262}"/>
            </c:ext>
          </c:extLst>
        </c:ser>
        <c:ser>
          <c:idx val="5"/>
          <c:order val="5"/>
          <c:tx>
            <c:v>Point 2</c:v>
          </c:tx>
          <c:marker>
            <c:symbol val="circle"/>
            <c:size val="7"/>
            <c:spPr>
              <a:solidFill>
                <a:srgbClr val="F79646">
                  <a:lumMod val="75000"/>
                  <a:alpha val="73000"/>
                </a:srgb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xVal>
            <c:numRef>
              <c:f>'EC8-GR'!$D$25</c:f>
              <c:numCache>
                <c:formatCode>0.00</c:formatCode>
                <c:ptCount val="1"/>
                <c:pt idx="0">
                  <c:v>0.5</c:v>
                </c:pt>
              </c:numCache>
            </c:numRef>
          </c:xVal>
          <c:yVal>
            <c:numRef>
              <c:f>'EC8-GR'!$D$29</c:f>
              <c:numCache>
                <c:formatCode>0.000</c:formatCode>
                <c:ptCount val="1"/>
                <c:pt idx="0">
                  <c:v>0.35714285714285715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819-400F-997B-A53AEE87A2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417408"/>
        <c:axId val="112423680"/>
      </c:scatterChart>
      <c:valAx>
        <c:axId val="112417408"/>
        <c:scaling>
          <c:orientation val="minMax"/>
        </c:scaling>
        <c:delete val="0"/>
        <c:axPos val="b"/>
        <c:majorGridlines>
          <c:spPr>
            <a:ln>
              <a:solidFill>
                <a:sysClr val="windowText" lastClr="000000">
                  <a:tint val="75000"/>
                  <a:shade val="95000"/>
                  <a:satMod val="105000"/>
                </a:sysClr>
              </a:solidFill>
              <a:prstDash val="sysDash"/>
            </a:ln>
          </c:spPr>
        </c:majorGridlines>
        <c:numFmt formatCode="0.00" sourceLinked="1"/>
        <c:majorTickMark val="out"/>
        <c:minorTickMark val="none"/>
        <c:tickLblPos val="nextTo"/>
        <c:crossAx val="112423680"/>
        <c:crosses val="autoZero"/>
        <c:crossBetween val="midCat"/>
      </c:valAx>
      <c:valAx>
        <c:axId val="11242368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12417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EC8 Design Spectrum</a:t>
            </a:r>
            <a:r>
              <a:rPr lang="en-US" sz="1100" baseline="0"/>
              <a:t> </a:t>
            </a:r>
            <a:r>
              <a:rPr lang="en-US" sz="1100"/>
              <a:t>Horizontal  -</a:t>
            </a:r>
            <a:r>
              <a:rPr lang="el-GR" sz="1100"/>
              <a:t> </a:t>
            </a:r>
            <a:r>
              <a:rPr lang="en-US" sz="1100"/>
              <a:t>[m/s2]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7573445395828292E-2"/>
          <c:y val="0.13988676808069148"/>
          <c:w val="0.87175269757947105"/>
          <c:h val="0.58935510024597659"/>
        </c:manualLayout>
      </c:layout>
      <c:scatterChart>
        <c:scatterStyle val="lineMarker"/>
        <c:varyColors val="0"/>
        <c:ser>
          <c:idx val="0"/>
          <c:order val="0"/>
          <c:tx>
            <c:strRef>
              <c:f>OUTPUT!$G$3</c:f>
              <c:strCache>
                <c:ptCount val="1"/>
                <c:pt idx="0">
                  <c:v>NC_HOR_Se(T), Type 2,Σ2,A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OUTPUT!$G$4:$G$47</c:f>
              <c:numCache>
                <c:formatCode>0.000</c:formatCode>
                <c:ptCount val="44"/>
                <c:pt idx="0">
                  <c:v>2.3544</c:v>
                </c:pt>
                <c:pt idx="1">
                  <c:v>5.8860000000000001</c:v>
                </c:pt>
                <c:pt idx="2">
                  <c:v>5.8860000000000001</c:v>
                </c:pt>
                <c:pt idx="3">
                  <c:v>5.8860000000000001</c:v>
                </c:pt>
                <c:pt idx="4">
                  <c:v>5.8860000000000001</c:v>
                </c:pt>
                <c:pt idx="5">
                  <c:v>5.8860000000000001</c:v>
                </c:pt>
                <c:pt idx="6">
                  <c:v>4.9050000000000002</c:v>
                </c:pt>
                <c:pt idx="7">
                  <c:v>4.2042857142857146</c:v>
                </c:pt>
                <c:pt idx="8">
                  <c:v>3.67875</c:v>
                </c:pt>
                <c:pt idx="9">
                  <c:v>3.27</c:v>
                </c:pt>
                <c:pt idx="10">
                  <c:v>2.9430000000000001</c:v>
                </c:pt>
                <c:pt idx="11">
                  <c:v>2.6754545454545458</c:v>
                </c:pt>
                <c:pt idx="12">
                  <c:v>2.4525000000000001</c:v>
                </c:pt>
                <c:pt idx="13">
                  <c:v>2.2638461538461536</c:v>
                </c:pt>
                <c:pt idx="14">
                  <c:v>2.1021428571428569</c:v>
                </c:pt>
                <c:pt idx="15">
                  <c:v>1.9619999999999995</c:v>
                </c:pt>
                <c:pt idx="16">
                  <c:v>1.8393749999999998</c:v>
                </c:pt>
                <c:pt idx="17">
                  <c:v>1.7311764705882349</c:v>
                </c:pt>
                <c:pt idx="18">
                  <c:v>1.6349999999999993</c:v>
                </c:pt>
                <c:pt idx="19">
                  <c:v>1.5489473684210522</c:v>
                </c:pt>
                <c:pt idx="20">
                  <c:v>1.4714999999999998</c:v>
                </c:pt>
                <c:pt idx="21">
                  <c:v>1.4014285714285712</c:v>
                </c:pt>
                <c:pt idx="22">
                  <c:v>1.3377272727272724</c:v>
                </c:pt>
                <c:pt idx="23">
                  <c:v>1.2795652173913041</c:v>
                </c:pt>
                <c:pt idx="24">
                  <c:v>1.2262499999999996</c:v>
                </c:pt>
                <c:pt idx="25">
                  <c:v>1.1301119999999991</c:v>
                </c:pt>
                <c:pt idx="26">
                  <c:v>1.0448520710059161</c:v>
                </c:pt>
                <c:pt idx="27">
                  <c:v>0.96888888888888813</c:v>
                </c:pt>
                <c:pt idx="28">
                  <c:v>0.90091836734693798</c:v>
                </c:pt>
                <c:pt idx="29">
                  <c:v>0.83985731272294817</c:v>
                </c:pt>
                <c:pt idx="30">
                  <c:v>0.78479999999999928</c:v>
                </c:pt>
                <c:pt idx="31">
                  <c:v>0.73498439125910442</c:v>
                </c:pt>
                <c:pt idx="32">
                  <c:v>0.68976562499999938</c:v>
                </c:pt>
                <c:pt idx="33">
                  <c:v>0.64859504132231327</c:v>
                </c:pt>
                <c:pt idx="34">
                  <c:v>0.61100346020761187</c:v>
                </c:pt>
                <c:pt idx="35">
                  <c:v>0.57658775510204019</c:v>
                </c:pt>
                <c:pt idx="36">
                  <c:v>0.54499999999999937</c:v>
                </c:pt>
                <c:pt idx="37">
                  <c:v>0.51593864134404632</c:v>
                </c:pt>
                <c:pt idx="38">
                  <c:v>0.48914127423822668</c:v>
                </c:pt>
                <c:pt idx="39">
                  <c:v>0.4643786982248515</c:v>
                </c:pt>
                <c:pt idx="40">
                  <c:v>0.44144999999999962</c:v>
                </c:pt>
                <c:pt idx="41">
                  <c:v>0.42017846519928587</c:v>
                </c:pt>
                <c:pt idx="42">
                  <c:v>0.40040816326530593</c:v>
                </c:pt>
                <c:pt idx="43">
                  <c:v>0.38200108166576519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1A-4D55-B8CB-E83A03391D70}"/>
            </c:ext>
          </c:extLst>
        </c:ser>
        <c:ser>
          <c:idx val="1"/>
          <c:order val="1"/>
          <c:tx>
            <c:strRef>
              <c:f>OUTPUT!$H$3</c:f>
              <c:strCache>
                <c:ptCount val="1"/>
                <c:pt idx="0">
                  <c:v>NC_HOR_Sd(T), Type 2,Σ2,A,q=3.5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OUTPUT!$H$4:$H$47</c:f>
              <c:numCache>
                <c:formatCode>0.000</c:formatCode>
                <c:ptCount val="44"/>
                <c:pt idx="0">
                  <c:v>1.5695999999999999</c:v>
                </c:pt>
                <c:pt idx="1">
                  <c:v>1.6817142857142857</c:v>
                </c:pt>
                <c:pt idx="2">
                  <c:v>1.6817142857142857</c:v>
                </c:pt>
                <c:pt idx="3">
                  <c:v>1.6817142857142857</c:v>
                </c:pt>
                <c:pt idx="4">
                  <c:v>1.6817142857142857</c:v>
                </c:pt>
                <c:pt idx="5">
                  <c:v>1.6817142857142857</c:v>
                </c:pt>
                <c:pt idx="6">
                  <c:v>1.4014285714285715</c:v>
                </c:pt>
                <c:pt idx="7">
                  <c:v>1.2012244897959183</c:v>
                </c:pt>
                <c:pt idx="8">
                  <c:v>1.0510714285714287</c:v>
                </c:pt>
                <c:pt idx="9">
                  <c:v>0.93428571428571439</c:v>
                </c:pt>
                <c:pt idx="10">
                  <c:v>0.84085714285714286</c:v>
                </c:pt>
                <c:pt idx="11">
                  <c:v>0.76441558441558455</c:v>
                </c:pt>
                <c:pt idx="12">
                  <c:v>0.70071428571428573</c:v>
                </c:pt>
                <c:pt idx="13">
                  <c:v>0.64681318681318678</c:v>
                </c:pt>
                <c:pt idx="14">
                  <c:v>0.60061224489795906</c:v>
                </c:pt>
                <c:pt idx="15">
                  <c:v>0.5605714285714285</c:v>
                </c:pt>
                <c:pt idx="16">
                  <c:v>0.52553571428571422</c:v>
                </c:pt>
                <c:pt idx="17">
                  <c:v>0.49462184873949577</c:v>
                </c:pt>
                <c:pt idx="18">
                  <c:v>0.47088000000000002</c:v>
                </c:pt>
                <c:pt idx="19">
                  <c:v>0.47088000000000002</c:v>
                </c:pt>
                <c:pt idx="20">
                  <c:v>0.47088000000000002</c:v>
                </c:pt>
                <c:pt idx="21">
                  <c:v>0.47088000000000002</c:v>
                </c:pt>
                <c:pt idx="22">
                  <c:v>0.47088000000000002</c:v>
                </c:pt>
                <c:pt idx="23">
                  <c:v>0.47088000000000002</c:v>
                </c:pt>
                <c:pt idx="24">
                  <c:v>0.47088000000000002</c:v>
                </c:pt>
                <c:pt idx="25">
                  <c:v>0.47088000000000002</c:v>
                </c:pt>
                <c:pt idx="26">
                  <c:v>0.47088000000000002</c:v>
                </c:pt>
                <c:pt idx="27">
                  <c:v>0.47088000000000002</c:v>
                </c:pt>
                <c:pt idx="28">
                  <c:v>0.47088000000000002</c:v>
                </c:pt>
                <c:pt idx="29">
                  <c:v>0.47088000000000002</c:v>
                </c:pt>
                <c:pt idx="30">
                  <c:v>0.47088000000000002</c:v>
                </c:pt>
                <c:pt idx="31">
                  <c:v>0.47088000000000002</c:v>
                </c:pt>
                <c:pt idx="32">
                  <c:v>0.47088000000000002</c:v>
                </c:pt>
                <c:pt idx="33">
                  <c:v>0.47088000000000002</c:v>
                </c:pt>
                <c:pt idx="34">
                  <c:v>0.47088000000000002</c:v>
                </c:pt>
                <c:pt idx="35">
                  <c:v>0.47088000000000002</c:v>
                </c:pt>
                <c:pt idx="36">
                  <c:v>0.47088000000000002</c:v>
                </c:pt>
                <c:pt idx="37">
                  <c:v>0.47088000000000002</c:v>
                </c:pt>
                <c:pt idx="38">
                  <c:v>0.47088000000000002</c:v>
                </c:pt>
                <c:pt idx="39">
                  <c:v>0.47088000000000002</c:v>
                </c:pt>
                <c:pt idx="40">
                  <c:v>0.47088000000000002</c:v>
                </c:pt>
                <c:pt idx="41">
                  <c:v>0.47088000000000002</c:v>
                </c:pt>
                <c:pt idx="42">
                  <c:v>0.47088000000000002</c:v>
                </c:pt>
                <c:pt idx="43">
                  <c:v>0.47088000000000002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1A-4D55-B8CB-E83A03391D70}"/>
            </c:ext>
          </c:extLst>
        </c:ser>
        <c:ser>
          <c:idx val="2"/>
          <c:order val="2"/>
          <c:tx>
            <c:strRef>
              <c:f>OUTPUT!$I$3</c:f>
              <c:strCache>
                <c:ptCount val="1"/>
                <c:pt idx="0">
                  <c:v>DL_HOR_Se(T), Type 2,Σ2,A</c:v>
                </c:pt>
              </c:strCache>
            </c:strRef>
          </c:tx>
          <c:spPr>
            <a:ln>
              <a:solidFill>
                <a:srgbClr val="92D050"/>
              </a:solidFill>
              <a:prstDash val="dash"/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OUTPUT!$I$4:$I$47</c:f>
              <c:numCache>
                <c:formatCode>0.000</c:formatCode>
                <c:ptCount val="44"/>
                <c:pt idx="0">
                  <c:v>1.1772</c:v>
                </c:pt>
                <c:pt idx="1">
                  <c:v>2.9430000000000001</c:v>
                </c:pt>
                <c:pt idx="2">
                  <c:v>2.9430000000000001</c:v>
                </c:pt>
                <c:pt idx="3">
                  <c:v>2.9430000000000001</c:v>
                </c:pt>
                <c:pt idx="4">
                  <c:v>2.9430000000000001</c:v>
                </c:pt>
                <c:pt idx="5">
                  <c:v>2.9430000000000001</c:v>
                </c:pt>
                <c:pt idx="6">
                  <c:v>2.4525000000000001</c:v>
                </c:pt>
                <c:pt idx="7">
                  <c:v>2.1021428571428573</c:v>
                </c:pt>
                <c:pt idx="8">
                  <c:v>1.839375</c:v>
                </c:pt>
                <c:pt idx="9">
                  <c:v>1.635</c:v>
                </c:pt>
                <c:pt idx="10">
                  <c:v>1.4715</c:v>
                </c:pt>
                <c:pt idx="11">
                  <c:v>1.3377272727272729</c:v>
                </c:pt>
                <c:pt idx="12">
                  <c:v>1.2262500000000001</c:v>
                </c:pt>
                <c:pt idx="13">
                  <c:v>1.1319230769230768</c:v>
                </c:pt>
                <c:pt idx="14">
                  <c:v>1.0510714285714284</c:v>
                </c:pt>
                <c:pt idx="15">
                  <c:v>0.98099999999999976</c:v>
                </c:pt>
                <c:pt idx="16">
                  <c:v>0.91968749999999988</c:v>
                </c:pt>
                <c:pt idx="17">
                  <c:v>0.86558823529411744</c:v>
                </c:pt>
                <c:pt idx="18">
                  <c:v>0.81749999999999967</c:v>
                </c:pt>
                <c:pt idx="19">
                  <c:v>0.77447368421052609</c:v>
                </c:pt>
                <c:pt idx="20">
                  <c:v>0.7357499999999999</c:v>
                </c:pt>
                <c:pt idx="21">
                  <c:v>0.70071428571428562</c:v>
                </c:pt>
                <c:pt idx="22">
                  <c:v>0.66886363636363622</c:v>
                </c:pt>
                <c:pt idx="23">
                  <c:v>0.63978260869565207</c:v>
                </c:pt>
                <c:pt idx="24">
                  <c:v>0.61312499999999981</c:v>
                </c:pt>
                <c:pt idx="25">
                  <c:v>0.56505599999999956</c:v>
                </c:pt>
                <c:pt idx="26">
                  <c:v>0.52242603550295807</c:v>
                </c:pt>
                <c:pt idx="27">
                  <c:v>0.48444444444444407</c:v>
                </c:pt>
                <c:pt idx="28">
                  <c:v>0.45045918367346899</c:v>
                </c:pt>
                <c:pt idx="29">
                  <c:v>0.41992865636147408</c:v>
                </c:pt>
                <c:pt idx="30">
                  <c:v>0.39239999999999964</c:v>
                </c:pt>
                <c:pt idx="31">
                  <c:v>0.36749219562955221</c:v>
                </c:pt>
                <c:pt idx="32">
                  <c:v>0.34488281249999969</c:v>
                </c:pt>
                <c:pt idx="33">
                  <c:v>0.32429752066115664</c:v>
                </c:pt>
                <c:pt idx="34">
                  <c:v>0.30550173010380594</c:v>
                </c:pt>
                <c:pt idx="35">
                  <c:v>0.28829387755102009</c:v>
                </c:pt>
                <c:pt idx="36">
                  <c:v>0.27249999999999969</c:v>
                </c:pt>
                <c:pt idx="37">
                  <c:v>0.25796932067202316</c:v>
                </c:pt>
                <c:pt idx="38">
                  <c:v>0.24457063711911334</c:v>
                </c:pt>
                <c:pt idx="39">
                  <c:v>0.23218934911242575</c:v>
                </c:pt>
                <c:pt idx="40">
                  <c:v>0.22072499999999981</c:v>
                </c:pt>
                <c:pt idx="41">
                  <c:v>0.21008923259964293</c:v>
                </c:pt>
                <c:pt idx="42">
                  <c:v>0.20020408163265296</c:v>
                </c:pt>
                <c:pt idx="43">
                  <c:v>0.19100054083288259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61A-4D55-B8CB-E83A03391D70}"/>
            </c:ext>
          </c:extLst>
        </c:ser>
        <c:ser>
          <c:idx val="3"/>
          <c:order val="3"/>
          <c:tx>
            <c:strRef>
              <c:f>OUTPUT!$J$3</c:f>
              <c:strCache>
                <c:ptCount val="1"/>
                <c:pt idx="0">
                  <c:v>DL_HOR_Sd(T), Type 2,Σ2,A,q=3.5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OUTPUT!$J$4:$J$47</c:f>
              <c:numCache>
                <c:formatCode>0.000</c:formatCode>
                <c:ptCount val="44"/>
                <c:pt idx="0">
                  <c:v>0.78479999999999994</c:v>
                </c:pt>
                <c:pt idx="1">
                  <c:v>0.84085714285714286</c:v>
                </c:pt>
                <c:pt idx="2">
                  <c:v>0.84085714285714286</c:v>
                </c:pt>
                <c:pt idx="3">
                  <c:v>0.84085714285714286</c:v>
                </c:pt>
                <c:pt idx="4">
                  <c:v>0.84085714285714286</c:v>
                </c:pt>
                <c:pt idx="5">
                  <c:v>0.84085714285714286</c:v>
                </c:pt>
                <c:pt idx="6">
                  <c:v>0.70071428571428573</c:v>
                </c:pt>
                <c:pt idx="7">
                  <c:v>0.60061224489795917</c:v>
                </c:pt>
                <c:pt idx="8">
                  <c:v>0.52553571428571433</c:v>
                </c:pt>
                <c:pt idx="9">
                  <c:v>0.46714285714285719</c:v>
                </c:pt>
                <c:pt idx="10">
                  <c:v>0.42042857142857143</c:v>
                </c:pt>
                <c:pt idx="11">
                  <c:v>0.38220779220779227</c:v>
                </c:pt>
                <c:pt idx="12">
                  <c:v>0.35035714285714287</c:v>
                </c:pt>
                <c:pt idx="13">
                  <c:v>0.32340659340659339</c:v>
                </c:pt>
                <c:pt idx="14">
                  <c:v>0.30030612244897953</c:v>
                </c:pt>
                <c:pt idx="15">
                  <c:v>0.28028571428571425</c:v>
                </c:pt>
                <c:pt idx="16">
                  <c:v>0.26276785714285711</c:v>
                </c:pt>
                <c:pt idx="17">
                  <c:v>0.24731092436974789</c:v>
                </c:pt>
                <c:pt idx="18">
                  <c:v>0.23544000000000001</c:v>
                </c:pt>
                <c:pt idx="19">
                  <c:v>0.23544000000000001</c:v>
                </c:pt>
                <c:pt idx="20">
                  <c:v>0.23544000000000001</c:v>
                </c:pt>
                <c:pt idx="21">
                  <c:v>0.23544000000000001</c:v>
                </c:pt>
                <c:pt idx="22">
                  <c:v>0.23544000000000001</c:v>
                </c:pt>
                <c:pt idx="23">
                  <c:v>0.23544000000000001</c:v>
                </c:pt>
                <c:pt idx="24">
                  <c:v>0.23544000000000001</c:v>
                </c:pt>
                <c:pt idx="25">
                  <c:v>0.23544000000000001</c:v>
                </c:pt>
                <c:pt idx="26">
                  <c:v>0.23544000000000001</c:v>
                </c:pt>
                <c:pt idx="27">
                  <c:v>0.23544000000000001</c:v>
                </c:pt>
                <c:pt idx="28">
                  <c:v>0.23544000000000001</c:v>
                </c:pt>
                <c:pt idx="29">
                  <c:v>0.23544000000000001</c:v>
                </c:pt>
                <c:pt idx="30">
                  <c:v>0.23544000000000001</c:v>
                </c:pt>
                <c:pt idx="31">
                  <c:v>0.23544000000000001</c:v>
                </c:pt>
                <c:pt idx="32">
                  <c:v>0.23544000000000001</c:v>
                </c:pt>
                <c:pt idx="33">
                  <c:v>0.23544000000000001</c:v>
                </c:pt>
                <c:pt idx="34">
                  <c:v>0.23544000000000001</c:v>
                </c:pt>
                <c:pt idx="35">
                  <c:v>0.23544000000000001</c:v>
                </c:pt>
                <c:pt idx="36">
                  <c:v>0.23544000000000001</c:v>
                </c:pt>
                <c:pt idx="37">
                  <c:v>0.23544000000000001</c:v>
                </c:pt>
                <c:pt idx="38">
                  <c:v>0.23544000000000001</c:v>
                </c:pt>
                <c:pt idx="39">
                  <c:v>0.23544000000000001</c:v>
                </c:pt>
                <c:pt idx="40">
                  <c:v>0.23544000000000001</c:v>
                </c:pt>
                <c:pt idx="41">
                  <c:v>0.23544000000000001</c:v>
                </c:pt>
                <c:pt idx="42">
                  <c:v>0.23544000000000001</c:v>
                </c:pt>
                <c:pt idx="43">
                  <c:v>0.23544000000000001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61A-4D55-B8CB-E83A03391D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600960"/>
        <c:axId val="112602496"/>
      </c:scatterChart>
      <c:valAx>
        <c:axId val="112600960"/>
        <c:scaling>
          <c:orientation val="minMax"/>
        </c:scaling>
        <c:delete val="0"/>
        <c:axPos val="b"/>
        <c:majorGridlines>
          <c:spPr>
            <a:ln>
              <a:solidFill>
                <a:sysClr val="windowText" lastClr="000000">
                  <a:tint val="75000"/>
                  <a:shade val="95000"/>
                  <a:satMod val="105000"/>
                </a:sysClr>
              </a:solidFill>
              <a:prstDash val="sysDash"/>
            </a:ln>
          </c:spPr>
        </c:majorGridlines>
        <c:numFmt formatCode="0.00" sourceLinked="1"/>
        <c:majorTickMark val="out"/>
        <c:minorTickMark val="none"/>
        <c:tickLblPos val="nextTo"/>
        <c:crossAx val="112602496"/>
        <c:crosses val="autoZero"/>
        <c:crossBetween val="midCat"/>
      </c:valAx>
      <c:valAx>
        <c:axId val="112602496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12600960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EC8 Elastic Response Vertical - [S/ag]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OUTPUT!$K$3</c:f>
              <c:strCache>
                <c:ptCount val="1"/>
                <c:pt idx="0">
                  <c:v>NC_VER_Se(T)/avg, Type 2,Σ2,A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OUTPUT!$K$4:$K$47</c:f>
              <c:numCache>
                <c:formatCode>0.000</c:formatCode>
                <c:ptCount val="44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2.2499999999999996</c:v>
                </c:pt>
                <c:pt idx="5">
                  <c:v>1.7999999999999998</c:v>
                </c:pt>
                <c:pt idx="6">
                  <c:v>1.5</c:v>
                </c:pt>
                <c:pt idx="7">
                  <c:v>1.2857142857142858</c:v>
                </c:pt>
                <c:pt idx="8">
                  <c:v>1.125</c:v>
                </c:pt>
                <c:pt idx="9">
                  <c:v>1</c:v>
                </c:pt>
                <c:pt idx="10">
                  <c:v>0.90000000000000013</c:v>
                </c:pt>
                <c:pt idx="11">
                  <c:v>0.81818181818181834</c:v>
                </c:pt>
                <c:pt idx="12">
                  <c:v>0.75</c:v>
                </c:pt>
                <c:pt idx="13">
                  <c:v>0.69230769230769229</c:v>
                </c:pt>
                <c:pt idx="14">
                  <c:v>0.64285714285714279</c:v>
                </c:pt>
                <c:pt idx="15">
                  <c:v>0.59999999999999987</c:v>
                </c:pt>
                <c:pt idx="16">
                  <c:v>0.56249999999999978</c:v>
                </c:pt>
                <c:pt idx="17">
                  <c:v>0.52941176470588225</c:v>
                </c:pt>
                <c:pt idx="18">
                  <c:v>0.49999999999999978</c:v>
                </c:pt>
                <c:pt idx="19">
                  <c:v>0.4736842105263156</c:v>
                </c:pt>
                <c:pt idx="20">
                  <c:v>0.4499999999999999</c:v>
                </c:pt>
                <c:pt idx="21">
                  <c:v>0.40816326530612224</c:v>
                </c:pt>
                <c:pt idx="22">
                  <c:v>0.37190082644628081</c:v>
                </c:pt>
                <c:pt idx="23">
                  <c:v>0.34026465028355363</c:v>
                </c:pt>
                <c:pt idx="24">
                  <c:v>0.31249999999999978</c:v>
                </c:pt>
                <c:pt idx="25">
                  <c:v>0.28799999999999981</c:v>
                </c:pt>
                <c:pt idx="26">
                  <c:v>0.26627218934911223</c:v>
                </c:pt>
                <c:pt idx="27">
                  <c:v>0.24691358024691337</c:v>
                </c:pt>
                <c:pt idx="28">
                  <c:v>0.22959183673469369</c:v>
                </c:pt>
                <c:pt idx="29">
                  <c:v>0.21403091557669424</c:v>
                </c:pt>
                <c:pt idx="30">
                  <c:v>0.19999999999999984</c:v>
                </c:pt>
                <c:pt idx="31">
                  <c:v>0.18730489073881357</c:v>
                </c:pt>
                <c:pt idx="32">
                  <c:v>0.17578124999999983</c:v>
                </c:pt>
                <c:pt idx="33">
                  <c:v>0.16528925619834692</c:v>
                </c:pt>
                <c:pt idx="34">
                  <c:v>0.15570934256055347</c:v>
                </c:pt>
                <c:pt idx="35">
                  <c:v>0.14693877551020393</c:v>
                </c:pt>
                <c:pt idx="36">
                  <c:v>0.13888888888888873</c:v>
                </c:pt>
                <c:pt idx="37">
                  <c:v>0.13148283418553675</c:v>
                </c:pt>
                <c:pt idx="38">
                  <c:v>0.12465373961218823</c:v>
                </c:pt>
                <c:pt idx="39">
                  <c:v>0.11834319526627204</c:v>
                </c:pt>
                <c:pt idx="40">
                  <c:v>0.11249999999999989</c:v>
                </c:pt>
                <c:pt idx="41">
                  <c:v>0.10707911957168344</c:v>
                </c:pt>
                <c:pt idx="42">
                  <c:v>0.10204081632653056</c:v>
                </c:pt>
                <c:pt idx="43">
                  <c:v>9.7349918875067581E-2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70-403D-90E0-EE6D3A835095}"/>
            </c:ext>
          </c:extLst>
        </c:ser>
        <c:ser>
          <c:idx val="1"/>
          <c:order val="1"/>
          <c:tx>
            <c:strRef>
              <c:f>OUTPUT!$L$3</c:f>
              <c:strCache>
                <c:ptCount val="1"/>
                <c:pt idx="0">
                  <c:v>NC_VER_Sd(T)/avg, Type 2,Σ2,q=1.5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OUTPUT!$L$4:$L$47</c:f>
              <c:numCache>
                <c:formatCode>0.000</c:formatCode>
                <c:ptCount val="44"/>
                <c:pt idx="0">
                  <c:v>0.66666666666666663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1.4999999999999998</c:v>
                </c:pt>
                <c:pt idx="5">
                  <c:v>1.2</c:v>
                </c:pt>
                <c:pt idx="6">
                  <c:v>1</c:v>
                </c:pt>
                <c:pt idx="7">
                  <c:v>0.85714285714285721</c:v>
                </c:pt>
                <c:pt idx="8">
                  <c:v>0.75</c:v>
                </c:pt>
                <c:pt idx="9">
                  <c:v>0.66666666666666674</c:v>
                </c:pt>
                <c:pt idx="10">
                  <c:v>0.60000000000000009</c:v>
                </c:pt>
                <c:pt idx="11">
                  <c:v>0.54545454545454553</c:v>
                </c:pt>
                <c:pt idx="12">
                  <c:v>0.5</c:v>
                </c:pt>
                <c:pt idx="13">
                  <c:v>0.46153846153846151</c:v>
                </c:pt>
                <c:pt idx="14">
                  <c:v>0.42857142857142849</c:v>
                </c:pt>
                <c:pt idx="15">
                  <c:v>0.39999999999999991</c:v>
                </c:pt>
                <c:pt idx="16">
                  <c:v>0.37499999999999989</c:v>
                </c:pt>
                <c:pt idx="17">
                  <c:v>0.35294117647058815</c:v>
                </c:pt>
                <c:pt idx="18">
                  <c:v>0.3333333333333332</c:v>
                </c:pt>
                <c:pt idx="19">
                  <c:v>0.3157894736842104</c:v>
                </c:pt>
                <c:pt idx="20">
                  <c:v>0.29999999999999993</c:v>
                </c:pt>
                <c:pt idx="21">
                  <c:v>0.27210884353741482</c:v>
                </c:pt>
                <c:pt idx="22">
                  <c:v>0.24793388429752053</c:v>
                </c:pt>
                <c:pt idx="23">
                  <c:v>0.22684310018903575</c:v>
                </c:pt>
                <c:pt idx="24">
                  <c:v>0.20833333333333318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D70-403D-90E0-EE6D3A835095}"/>
            </c:ext>
          </c:extLst>
        </c:ser>
        <c:ser>
          <c:idx val="2"/>
          <c:order val="2"/>
          <c:tx>
            <c:strRef>
              <c:f>OUTPUT!$M$3</c:f>
              <c:strCache>
                <c:ptCount val="1"/>
                <c:pt idx="0">
                  <c:v>DL_VER_Se(T)/avg, Type 2,Σ2,A</c:v>
                </c:pt>
              </c:strCache>
            </c:strRef>
          </c:tx>
          <c:spPr>
            <a:ln>
              <a:solidFill>
                <a:srgbClr val="92D050"/>
              </a:solidFill>
              <a:prstDash val="dash"/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OUTPUT!$M$4:$M$47</c:f>
              <c:numCache>
                <c:formatCode>0.000</c:formatCode>
                <c:ptCount val="44"/>
                <c:pt idx="0">
                  <c:v>0.5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1.1249999999999998</c:v>
                </c:pt>
                <c:pt idx="5">
                  <c:v>0.89999999999999991</c:v>
                </c:pt>
                <c:pt idx="6">
                  <c:v>0.75</c:v>
                </c:pt>
                <c:pt idx="7">
                  <c:v>0.6428571428571429</c:v>
                </c:pt>
                <c:pt idx="8">
                  <c:v>0.5625</c:v>
                </c:pt>
                <c:pt idx="9">
                  <c:v>0.5</c:v>
                </c:pt>
                <c:pt idx="10">
                  <c:v>0.45000000000000007</c:v>
                </c:pt>
                <c:pt idx="11">
                  <c:v>0.40909090909090917</c:v>
                </c:pt>
                <c:pt idx="12">
                  <c:v>0.375</c:v>
                </c:pt>
                <c:pt idx="13">
                  <c:v>0.34615384615384615</c:v>
                </c:pt>
                <c:pt idx="14">
                  <c:v>0.3214285714285714</c:v>
                </c:pt>
                <c:pt idx="15">
                  <c:v>0.29999999999999993</c:v>
                </c:pt>
                <c:pt idx="16">
                  <c:v>0.28124999999999989</c:v>
                </c:pt>
                <c:pt idx="17">
                  <c:v>0.26470588235294112</c:v>
                </c:pt>
                <c:pt idx="18">
                  <c:v>0.24999999999999989</c:v>
                </c:pt>
                <c:pt idx="19">
                  <c:v>0.2368421052631578</c:v>
                </c:pt>
                <c:pt idx="20">
                  <c:v>0.22499999999999995</c:v>
                </c:pt>
                <c:pt idx="21">
                  <c:v>0.20408163265306112</c:v>
                </c:pt>
                <c:pt idx="22">
                  <c:v>0.1859504132231404</c:v>
                </c:pt>
                <c:pt idx="23">
                  <c:v>0.17013232514177681</c:v>
                </c:pt>
                <c:pt idx="24">
                  <c:v>0.15624999999999989</c:v>
                </c:pt>
                <c:pt idx="25">
                  <c:v>0.14399999999999991</c:v>
                </c:pt>
                <c:pt idx="26">
                  <c:v>0.13313609467455612</c:v>
                </c:pt>
                <c:pt idx="27">
                  <c:v>0.12345679012345669</c:v>
                </c:pt>
                <c:pt idx="28">
                  <c:v>0.11479591836734684</c:v>
                </c:pt>
                <c:pt idx="29">
                  <c:v>0.10701545778834712</c:v>
                </c:pt>
                <c:pt idx="30">
                  <c:v>9.9999999999999922E-2</c:v>
                </c:pt>
                <c:pt idx="31">
                  <c:v>9.3652445369406784E-2</c:v>
                </c:pt>
                <c:pt idx="32">
                  <c:v>8.7890624999999917E-2</c:v>
                </c:pt>
                <c:pt idx="33">
                  <c:v>8.2644628099173459E-2</c:v>
                </c:pt>
                <c:pt idx="34">
                  <c:v>7.7854671280276733E-2</c:v>
                </c:pt>
                <c:pt idx="35">
                  <c:v>7.3469387755101964E-2</c:v>
                </c:pt>
                <c:pt idx="36">
                  <c:v>6.9444444444444364E-2</c:v>
                </c:pt>
                <c:pt idx="37">
                  <c:v>6.5741417092768373E-2</c:v>
                </c:pt>
                <c:pt idx="38">
                  <c:v>6.2326869806094115E-2</c:v>
                </c:pt>
                <c:pt idx="39">
                  <c:v>5.9171597633136022E-2</c:v>
                </c:pt>
                <c:pt idx="40">
                  <c:v>5.6249999999999946E-2</c:v>
                </c:pt>
                <c:pt idx="41">
                  <c:v>5.3539559785841719E-2</c:v>
                </c:pt>
                <c:pt idx="42">
                  <c:v>5.1020408163265279E-2</c:v>
                </c:pt>
                <c:pt idx="43">
                  <c:v>4.8674959437533791E-2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D70-403D-90E0-EE6D3A835095}"/>
            </c:ext>
          </c:extLst>
        </c:ser>
        <c:ser>
          <c:idx val="3"/>
          <c:order val="3"/>
          <c:tx>
            <c:strRef>
              <c:f>OUTPUT!$N$3</c:f>
              <c:strCache>
                <c:ptCount val="1"/>
                <c:pt idx="0">
                  <c:v>DL_VER_Sd(T)/avg, Type 2,Σ2,A,q=1.5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OUTPUT!$N$4:$N$47</c:f>
              <c:numCache>
                <c:formatCode>0.000</c:formatCode>
                <c:ptCount val="44"/>
                <c:pt idx="0">
                  <c:v>0.33333333333333331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0.74999999999999989</c:v>
                </c:pt>
                <c:pt idx="5">
                  <c:v>0.6</c:v>
                </c:pt>
                <c:pt idx="6">
                  <c:v>0.5</c:v>
                </c:pt>
                <c:pt idx="7">
                  <c:v>0.4285714285714286</c:v>
                </c:pt>
                <c:pt idx="8">
                  <c:v>0.375</c:v>
                </c:pt>
                <c:pt idx="9">
                  <c:v>0.33333333333333337</c:v>
                </c:pt>
                <c:pt idx="10">
                  <c:v>0.30000000000000004</c:v>
                </c:pt>
                <c:pt idx="11">
                  <c:v>0.27272727272727276</c:v>
                </c:pt>
                <c:pt idx="12">
                  <c:v>0.25</c:v>
                </c:pt>
                <c:pt idx="13">
                  <c:v>0.23076923076923075</c:v>
                </c:pt>
                <c:pt idx="14">
                  <c:v>0.21428571428571425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D70-403D-90E0-EE6D3A835095}"/>
            </c:ext>
          </c:extLst>
        </c:ser>
        <c:ser>
          <c:idx val="4"/>
          <c:order val="4"/>
          <c:tx>
            <c:v>Point 1</c:v>
          </c:tx>
          <c:marker>
            <c:symbol val="circle"/>
            <c:size val="7"/>
            <c:spPr>
              <a:solidFill>
                <a:srgbClr val="4F81BD">
                  <a:alpha val="77000"/>
                </a:srgbClr>
              </a:solidFill>
              <a:ln>
                <a:solidFill>
                  <a:schemeClr val="tx1">
                    <a:lumMod val="95000"/>
                    <a:lumOff val="5000"/>
                  </a:schemeClr>
                </a:solidFill>
              </a:ln>
            </c:spPr>
          </c:marker>
          <c:xVal>
            <c:numRef>
              <c:f>'EC8-GR'!$D$25</c:f>
              <c:numCache>
                <c:formatCode>0.00</c:formatCode>
                <c:ptCount val="1"/>
                <c:pt idx="0">
                  <c:v>0.5</c:v>
                </c:pt>
              </c:numCache>
            </c:numRef>
          </c:xVal>
          <c:yVal>
            <c:numRef>
              <c:f>'EC8-GR'!$D$34</c:f>
              <c:numCache>
                <c:formatCode>0.00</c:formatCode>
                <c:ptCount val="1"/>
                <c:pt idx="0">
                  <c:v>0.89999999999999991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D70-403D-90E0-EE6D3A835095}"/>
            </c:ext>
          </c:extLst>
        </c:ser>
        <c:ser>
          <c:idx val="5"/>
          <c:order val="5"/>
          <c:tx>
            <c:v>Point 2</c:v>
          </c:tx>
          <c:marker>
            <c:symbol val="circle"/>
            <c:size val="7"/>
            <c:spPr>
              <a:solidFill>
                <a:srgbClr val="FFC000"/>
              </a:solidFill>
              <a:ln>
                <a:solidFill>
                  <a:schemeClr val="tx1">
                    <a:lumMod val="95000"/>
                    <a:lumOff val="5000"/>
                  </a:schemeClr>
                </a:solidFill>
              </a:ln>
            </c:spPr>
          </c:marker>
          <c:xVal>
            <c:numRef>
              <c:f>'EC8-GR'!$D$25</c:f>
              <c:numCache>
                <c:formatCode>0.00</c:formatCode>
                <c:ptCount val="1"/>
                <c:pt idx="0">
                  <c:v>0.5</c:v>
                </c:pt>
              </c:numCache>
            </c:numRef>
          </c:xVal>
          <c:yVal>
            <c:numRef>
              <c:f>'EC8-GR'!$D$35</c:f>
              <c:numCache>
                <c:formatCode>0.00</c:formatCode>
                <c:ptCount val="1"/>
                <c:pt idx="0">
                  <c:v>0.6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D70-403D-90E0-EE6D3A835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727936"/>
        <c:axId val="112738304"/>
      </c:scatterChart>
      <c:valAx>
        <c:axId val="112727936"/>
        <c:scaling>
          <c:orientation val="minMax"/>
        </c:scaling>
        <c:delete val="0"/>
        <c:axPos val="b"/>
        <c:majorGridlines>
          <c:spPr>
            <a:ln>
              <a:solidFill>
                <a:sysClr val="windowText" lastClr="000000">
                  <a:tint val="75000"/>
                  <a:shade val="95000"/>
                  <a:satMod val="105000"/>
                </a:sysClr>
              </a:solidFill>
              <a:prstDash val="sysDash"/>
            </a:ln>
          </c:spPr>
        </c:majorGridlines>
        <c:numFmt formatCode="0.00" sourceLinked="1"/>
        <c:majorTickMark val="out"/>
        <c:minorTickMark val="none"/>
        <c:tickLblPos val="nextTo"/>
        <c:crossAx val="112738304"/>
        <c:crosses val="autoZero"/>
        <c:crossBetween val="midCat"/>
      </c:valAx>
      <c:valAx>
        <c:axId val="112738304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12727936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EC8 Design Spectrum Vertical -</a:t>
            </a:r>
            <a:r>
              <a:rPr lang="el-GR" sz="1100"/>
              <a:t> </a:t>
            </a:r>
            <a:r>
              <a:rPr lang="en-US" sz="1100"/>
              <a:t>[m/s2]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7573445395828292E-2"/>
          <c:y val="0.13988676808069148"/>
          <c:w val="0.8717526975794716"/>
          <c:h val="0.58935510024597659"/>
        </c:manualLayout>
      </c:layout>
      <c:scatterChart>
        <c:scatterStyle val="lineMarker"/>
        <c:varyColors val="0"/>
        <c:ser>
          <c:idx val="0"/>
          <c:order val="0"/>
          <c:tx>
            <c:strRef>
              <c:f>OUTPUT!$O$3</c:f>
              <c:strCache>
                <c:ptCount val="1"/>
                <c:pt idx="0">
                  <c:v>NC_VER_Se(T), Type 2,Σ2,A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OUTPUT!$O$4:$O$47</c:f>
              <c:numCache>
                <c:formatCode>0.000</c:formatCode>
                <c:ptCount val="44"/>
                <c:pt idx="0">
                  <c:v>1.05948</c:v>
                </c:pt>
                <c:pt idx="1">
                  <c:v>3.1784400000000002</c:v>
                </c:pt>
                <c:pt idx="2">
                  <c:v>3.1784400000000002</c:v>
                </c:pt>
                <c:pt idx="3">
                  <c:v>3.1784400000000002</c:v>
                </c:pt>
                <c:pt idx="4">
                  <c:v>2.3838299999999997</c:v>
                </c:pt>
                <c:pt idx="5">
                  <c:v>1.9070639999999999</c:v>
                </c:pt>
                <c:pt idx="6">
                  <c:v>1.5892200000000001</c:v>
                </c:pt>
                <c:pt idx="7">
                  <c:v>1.3621885714285715</c:v>
                </c:pt>
                <c:pt idx="8">
                  <c:v>1.1919150000000001</c:v>
                </c:pt>
                <c:pt idx="9">
                  <c:v>1.05948</c:v>
                </c:pt>
                <c:pt idx="10">
                  <c:v>0.95353200000000016</c:v>
                </c:pt>
                <c:pt idx="11">
                  <c:v>0.86684727272727291</c:v>
                </c:pt>
                <c:pt idx="12">
                  <c:v>0.79461000000000004</c:v>
                </c:pt>
                <c:pt idx="13">
                  <c:v>0.73348615384615379</c:v>
                </c:pt>
                <c:pt idx="14">
                  <c:v>0.68109428571428565</c:v>
                </c:pt>
                <c:pt idx="15">
                  <c:v>0.63568799999999981</c:v>
                </c:pt>
                <c:pt idx="16">
                  <c:v>0.59595749999999981</c:v>
                </c:pt>
                <c:pt idx="17">
                  <c:v>0.56090117647058813</c:v>
                </c:pt>
                <c:pt idx="18">
                  <c:v>0.52973999999999977</c:v>
                </c:pt>
                <c:pt idx="19">
                  <c:v>0.50185894736842085</c:v>
                </c:pt>
                <c:pt idx="20">
                  <c:v>0.47676599999999986</c:v>
                </c:pt>
                <c:pt idx="21">
                  <c:v>0.43244081632653036</c:v>
                </c:pt>
                <c:pt idx="22">
                  <c:v>0.39402148760330558</c:v>
                </c:pt>
                <c:pt idx="23">
                  <c:v>0.36050359168241941</c:v>
                </c:pt>
                <c:pt idx="24">
                  <c:v>0.33108749999999976</c:v>
                </c:pt>
                <c:pt idx="25">
                  <c:v>0.30513023999999977</c:v>
                </c:pt>
                <c:pt idx="26">
                  <c:v>0.28211005917159743</c:v>
                </c:pt>
                <c:pt idx="27">
                  <c:v>0.26159999999999978</c:v>
                </c:pt>
                <c:pt idx="28">
                  <c:v>0.24324795918367326</c:v>
                </c:pt>
                <c:pt idx="29">
                  <c:v>0.22676147443519601</c:v>
                </c:pt>
                <c:pt idx="30">
                  <c:v>0.21189599999999983</c:v>
                </c:pt>
                <c:pt idx="31">
                  <c:v>0.19844578563995818</c:v>
                </c:pt>
                <c:pt idx="32">
                  <c:v>0.18623671874999981</c:v>
                </c:pt>
                <c:pt idx="33">
                  <c:v>0.1751206611570246</c:v>
                </c:pt>
                <c:pt idx="34">
                  <c:v>0.16497093425605519</c:v>
                </c:pt>
                <c:pt idx="35">
                  <c:v>0.15567869387755084</c:v>
                </c:pt>
                <c:pt idx="36">
                  <c:v>0.14714999999999984</c:v>
                </c:pt>
                <c:pt idx="37">
                  <c:v>0.13930343316289248</c:v>
                </c:pt>
                <c:pt idx="38">
                  <c:v>0.13206814404432118</c:v>
                </c:pt>
                <c:pt idx="39">
                  <c:v>0.12538224852070989</c:v>
                </c:pt>
                <c:pt idx="40">
                  <c:v>0.11919149999999988</c:v>
                </c:pt>
                <c:pt idx="41">
                  <c:v>0.11344818560380716</c:v>
                </c:pt>
                <c:pt idx="42">
                  <c:v>0.10811020408163259</c:v>
                </c:pt>
                <c:pt idx="43">
                  <c:v>0.1031402920497566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99-4DF8-9B22-743C4D9CC4AF}"/>
            </c:ext>
          </c:extLst>
        </c:ser>
        <c:ser>
          <c:idx val="1"/>
          <c:order val="1"/>
          <c:tx>
            <c:strRef>
              <c:f>OUTPUT!$P$3</c:f>
              <c:strCache>
                <c:ptCount val="1"/>
                <c:pt idx="0">
                  <c:v>NC_VER_Sd(T), Type 2,Σ2,A,q=1.5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OUTPUT!$P$4:$P$47</c:f>
              <c:numCache>
                <c:formatCode>0.000</c:formatCode>
                <c:ptCount val="44"/>
                <c:pt idx="0">
                  <c:v>0.70631999999999995</c:v>
                </c:pt>
                <c:pt idx="1">
                  <c:v>2.11896</c:v>
                </c:pt>
                <c:pt idx="2">
                  <c:v>2.11896</c:v>
                </c:pt>
                <c:pt idx="3">
                  <c:v>2.11896</c:v>
                </c:pt>
                <c:pt idx="4">
                  <c:v>1.5892199999999996</c:v>
                </c:pt>
                <c:pt idx="5">
                  <c:v>1.2713759999999998</c:v>
                </c:pt>
                <c:pt idx="6">
                  <c:v>1.05948</c:v>
                </c:pt>
                <c:pt idx="7">
                  <c:v>0.90812571428571431</c:v>
                </c:pt>
                <c:pt idx="8">
                  <c:v>0.79461000000000004</c:v>
                </c:pt>
                <c:pt idx="9">
                  <c:v>0.70632000000000006</c:v>
                </c:pt>
                <c:pt idx="10">
                  <c:v>0.63568800000000003</c:v>
                </c:pt>
                <c:pt idx="11">
                  <c:v>0.57789818181818187</c:v>
                </c:pt>
                <c:pt idx="12">
                  <c:v>0.52973999999999999</c:v>
                </c:pt>
                <c:pt idx="13">
                  <c:v>0.48899076923076917</c:v>
                </c:pt>
                <c:pt idx="14">
                  <c:v>0.45406285714285705</c:v>
                </c:pt>
                <c:pt idx="15">
                  <c:v>0.42379199999999989</c:v>
                </c:pt>
                <c:pt idx="16">
                  <c:v>0.39730499999999985</c:v>
                </c:pt>
                <c:pt idx="17">
                  <c:v>0.37393411764705869</c:v>
                </c:pt>
                <c:pt idx="18">
                  <c:v>0.35315999999999986</c:v>
                </c:pt>
                <c:pt idx="19">
                  <c:v>0.33457263157894723</c:v>
                </c:pt>
                <c:pt idx="20">
                  <c:v>0.3178439999999999</c:v>
                </c:pt>
                <c:pt idx="21">
                  <c:v>0.28829387755102026</c:v>
                </c:pt>
                <c:pt idx="22">
                  <c:v>0.26268099173553705</c:v>
                </c:pt>
                <c:pt idx="23">
                  <c:v>0.24033572778827958</c:v>
                </c:pt>
                <c:pt idx="24">
                  <c:v>0.22072499999999984</c:v>
                </c:pt>
                <c:pt idx="25">
                  <c:v>0.21189600000000003</c:v>
                </c:pt>
                <c:pt idx="26">
                  <c:v>0.21189600000000003</c:v>
                </c:pt>
                <c:pt idx="27">
                  <c:v>0.21189600000000003</c:v>
                </c:pt>
                <c:pt idx="28">
                  <c:v>0.21189600000000003</c:v>
                </c:pt>
                <c:pt idx="29">
                  <c:v>0.21189600000000003</c:v>
                </c:pt>
                <c:pt idx="30">
                  <c:v>0.21189600000000003</c:v>
                </c:pt>
                <c:pt idx="31">
                  <c:v>0.21189600000000003</c:v>
                </c:pt>
                <c:pt idx="32">
                  <c:v>0.21189600000000003</c:v>
                </c:pt>
                <c:pt idx="33">
                  <c:v>0.21189600000000003</c:v>
                </c:pt>
                <c:pt idx="34">
                  <c:v>0.21189600000000003</c:v>
                </c:pt>
                <c:pt idx="35">
                  <c:v>0.21189600000000003</c:v>
                </c:pt>
                <c:pt idx="36">
                  <c:v>0.21189600000000003</c:v>
                </c:pt>
                <c:pt idx="37">
                  <c:v>0.21189600000000003</c:v>
                </c:pt>
                <c:pt idx="38">
                  <c:v>0.21189600000000003</c:v>
                </c:pt>
                <c:pt idx="39">
                  <c:v>0.21189600000000003</c:v>
                </c:pt>
                <c:pt idx="40">
                  <c:v>0.21189600000000003</c:v>
                </c:pt>
                <c:pt idx="41">
                  <c:v>0.21189600000000003</c:v>
                </c:pt>
                <c:pt idx="42">
                  <c:v>0.21189600000000003</c:v>
                </c:pt>
                <c:pt idx="43">
                  <c:v>0.21189600000000003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99-4DF8-9B22-743C4D9CC4AF}"/>
            </c:ext>
          </c:extLst>
        </c:ser>
        <c:ser>
          <c:idx val="2"/>
          <c:order val="2"/>
          <c:tx>
            <c:strRef>
              <c:f>OUTPUT!$Q$3</c:f>
              <c:strCache>
                <c:ptCount val="1"/>
                <c:pt idx="0">
                  <c:v>DL_VER_Se(T), Type 2,Σ2,A</c:v>
                </c:pt>
              </c:strCache>
            </c:strRef>
          </c:tx>
          <c:spPr>
            <a:ln>
              <a:solidFill>
                <a:srgbClr val="92D050"/>
              </a:solidFill>
              <a:prstDash val="dash"/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OUTPUT!$Q$4:$Q$47</c:f>
              <c:numCache>
                <c:formatCode>0.000</c:formatCode>
                <c:ptCount val="44"/>
                <c:pt idx="0">
                  <c:v>0.52973999999999999</c:v>
                </c:pt>
                <c:pt idx="1">
                  <c:v>1.5892200000000001</c:v>
                </c:pt>
                <c:pt idx="2">
                  <c:v>1.5892200000000001</c:v>
                </c:pt>
                <c:pt idx="3">
                  <c:v>1.5892200000000001</c:v>
                </c:pt>
                <c:pt idx="4">
                  <c:v>1.1919149999999998</c:v>
                </c:pt>
                <c:pt idx="5">
                  <c:v>0.95353199999999994</c:v>
                </c:pt>
                <c:pt idx="6">
                  <c:v>0.79461000000000004</c:v>
                </c:pt>
                <c:pt idx="7">
                  <c:v>0.68109428571428576</c:v>
                </c:pt>
                <c:pt idx="8">
                  <c:v>0.59595750000000003</c:v>
                </c:pt>
                <c:pt idx="9">
                  <c:v>0.52973999999999999</c:v>
                </c:pt>
                <c:pt idx="10">
                  <c:v>0.47676600000000008</c:v>
                </c:pt>
                <c:pt idx="11">
                  <c:v>0.43342363636363646</c:v>
                </c:pt>
                <c:pt idx="12">
                  <c:v>0.39730500000000002</c:v>
                </c:pt>
                <c:pt idx="13">
                  <c:v>0.36674307692307689</c:v>
                </c:pt>
                <c:pt idx="14">
                  <c:v>0.34054714285714283</c:v>
                </c:pt>
                <c:pt idx="15">
                  <c:v>0.3178439999999999</c:v>
                </c:pt>
                <c:pt idx="16">
                  <c:v>0.2979787499999999</c:v>
                </c:pt>
                <c:pt idx="17">
                  <c:v>0.28045058823529406</c:v>
                </c:pt>
                <c:pt idx="18">
                  <c:v>0.26486999999999988</c:v>
                </c:pt>
                <c:pt idx="19">
                  <c:v>0.25092947368421042</c:v>
                </c:pt>
                <c:pt idx="20">
                  <c:v>0.23838299999999993</c:v>
                </c:pt>
                <c:pt idx="21">
                  <c:v>0.21622040816326518</c:v>
                </c:pt>
                <c:pt idx="22">
                  <c:v>0.19701074380165279</c:v>
                </c:pt>
                <c:pt idx="23">
                  <c:v>0.18025179584120971</c:v>
                </c:pt>
                <c:pt idx="24">
                  <c:v>0.16554374999999988</c:v>
                </c:pt>
                <c:pt idx="25">
                  <c:v>0.15256511999999989</c:v>
                </c:pt>
                <c:pt idx="26">
                  <c:v>0.14105502958579871</c:v>
                </c:pt>
                <c:pt idx="27">
                  <c:v>0.13079999999999989</c:v>
                </c:pt>
                <c:pt idx="28">
                  <c:v>0.12162397959183663</c:v>
                </c:pt>
                <c:pt idx="29">
                  <c:v>0.113380737217598</c:v>
                </c:pt>
                <c:pt idx="30">
                  <c:v>0.10594799999999992</c:v>
                </c:pt>
                <c:pt idx="31">
                  <c:v>9.9222892819979092E-2</c:v>
                </c:pt>
                <c:pt idx="32">
                  <c:v>9.3118359374999904E-2</c:v>
                </c:pt>
                <c:pt idx="33">
                  <c:v>8.7560330578512299E-2</c:v>
                </c:pt>
                <c:pt idx="34">
                  <c:v>8.2485467128027595E-2</c:v>
                </c:pt>
                <c:pt idx="35">
                  <c:v>7.7839346938775422E-2</c:v>
                </c:pt>
                <c:pt idx="36">
                  <c:v>7.3574999999999918E-2</c:v>
                </c:pt>
                <c:pt idx="37">
                  <c:v>6.9651716581446241E-2</c:v>
                </c:pt>
                <c:pt idx="38">
                  <c:v>6.6034072022160592E-2</c:v>
                </c:pt>
                <c:pt idx="39">
                  <c:v>6.2691124260354947E-2</c:v>
                </c:pt>
                <c:pt idx="40">
                  <c:v>5.959574999999994E-2</c:v>
                </c:pt>
                <c:pt idx="41">
                  <c:v>5.6724092801903582E-2</c:v>
                </c:pt>
                <c:pt idx="42">
                  <c:v>5.4055102040816295E-2</c:v>
                </c:pt>
                <c:pt idx="43">
                  <c:v>5.1570146024878298E-2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499-4DF8-9B22-743C4D9CC4AF}"/>
            </c:ext>
          </c:extLst>
        </c:ser>
        <c:ser>
          <c:idx val="3"/>
          <c:order val="3"/>
          <c:tx>
            <c:strRef>
              <c:f>OUTPUT!$R$3</c:f>
              <c:strCache>
                <c:ptCount val="1"/>
                <c:pt idx="0">
                  <c:v>DL_VER_Sd(T), Type 2,Σ2,A,q=1.5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OUTPUT!$B$4:$B$47</c:f>
              <c:numCache>
                <c:formatCode>0.00</c:formatCode>
                <c:ptCount val="44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</c:numCache>
            </c:numRef>
          </c:xVal>
          <c:yVal>
            <c:numRef>
              <c:f>OUTPUT!$R$4:$R$47</c:f>
              <c:numCache>
                <c:formatCode>0.000</c:formatCode>
                <c:ptCount val="44"/>
                <c:pt idx="0">
                  <c:v>0.35315999999999997</c:v>
                </c:pt>
                <c:pt idx="1">
                  <c:v>1.05948</c:v>
                </c:pt>
                <c:pt idx="2">
                  <c:v>1.05948</c:v>
                </c:pt>
                <c:pt idx="3">
                  <c:v>1.05948</c:v>
                </c:pt>
                <c:pt idx="4">
                  <c:v>0.79460999999999982</c:v>
                </c:pt>
                <c:pt idx="5">
                  <c:v>0.63568799999999992</c:v>
                </c:pt>
                <c:pt idx="6">
                  <c:v>0.52973999999999999</c:v>
                </c:pt>
                <c:pt idx="7">
                  <c:v>0.45406285714285716</c:v>
                </c:pt>
                <c:pt idx="8">
                  <c:v>0.39730500000000002</c:v>
                </c:pt>
                <c:pt idx="9">
                  <c:v>0.35316000000000003</c:v>
                </c:pt>
                <c:pt idx="10">
                  <c:v>0.31784400000000002</c:v>
                </c:pt>
                <c:pt idx="11">
                  <c:v>0.28894909090909093</c:v>
                </c:pt>
                <c:pt idx="12">
                  <c:v>0.26486999999999999</c:v>
                </c:pt>
                <c:pt idx="13">
                  <c:v>0.24449538461538459</c:v>
                </c:pt>
                <c:pt idx="14">
                  <c:v>0.22703142857142852</c:v>
                </c:pt>
                <c:pt idx="15">
                  <c:v>0.21189599999999995</c:v>
                </c:pt>
                <c:pt idx="16">
                  <c:v>0.19865249999999993</c:v>
                </c:pt>
                <c:pt idx="17">
                  <c:v>0.18696705882352935</c:v>
                </c:pt>
                <c:pt idx="18">
                  <c:v>0.17657999999999993</c:v>
                </c:pt>
                <c:pt idx="19">
                  <c:v>0.16728631578947362</c:v>
                </c:pt>
                <c:pt idx="20">
                  <c:v>0.15892199999999995</c:v>
                </c:pt>
                <c:pt idx="21">
                  <c:v>0.14414693877551013</c:v>
                </c:pt>
                <c:pt idx="22">
                  <c:v>0.13134049586776853</c:v>
                </c:pt>
                <c:pt idx="23">
                  <c:v>0.12016786389413979</c:v>
                </c:pt>
                <c:pt idx="24">
                  <c:v>0.11036249999999992</c:v>
                </c:pt>
                <c:pt idx="25">
                  <c:v>0.10594800000000001</c:v>
                </c:pt>
                <c:pt idx="26">
                  <c:v>0.10594800000000001</c:v>
                </c:pt>
                <c:pt idx="27">
                  <c:v>0.10594800000000001</c:v>
                </c:pt>
                <c:pt idx="28">
                  <c:v>0.10594800000000001</c:v>
                </c:pt>
                <c:pt idx="29">
                  <c:v>0.10594800000000001</c:v>
                </c:pt>
                <c:pt idx="30">
                  <c:v>0.10594800000000001</c:v>
                </c:pt>
                <c:pt idx="31">
                  <c:v>0.10594800000000001</c:v>
                </c:pt>
                <c:pt idx="32">
                  <c:v>0.10594800000000001</c:v>
                </c:pt>
                <c:pt idx="33">
                  <c:v>0.10594800000000001</c:v>
                </c:pt>
                <c:pt idx="34">
                  <c:v>0.10594800000000001</c:v>
                </c:pt>
                <c:pt idx="35">
                  <c:v>0.10594800000000001</c:v>
                </c:pt>
                <c:pt idx="36">
                  <c:v>0.10594800000000001</c:v>
                </c:pt>
                <c:pt idx="37">
                  <c:v>0.10594800000000001</c:v>
                </c:pt>
                <c:pt idx="38">
                  <c:v>0.10594800000000001</c:v>
                </c:pt>
                <c:pt idx="39">
                  <c:v>0.10594800000000001</c:v>
                </c:pt>
                <c:pt idx="40">
                  <c:v>0.10594800000000001</c:v>
                </c:pt>
                <c:pt idx="41">
                  <c:v>0.10594800000000001</c:v>
                </c:pt>
                <c:pt idx="42">
                  <c:v>0.10594800000000001</c:v>
                </c:pt>
                <c:pt idx="43">
                  <c:v>0.10594800000000001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499-4DF8-9B22-743C4D9CC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768128"/>
        <c:axId val="112769664"/>
      </c:scatterChart>
      <c:valAx>
        <c:axId val="112768128"/>
        <c:scaling>
          <c:orientation val="minMax"/>
        </c:scaling>
        <c:delete val="0"/>
        <c:axPos val="b"/>
        <c:majorGridlines>
          <c:spPr>
            <a:ln>
              <a:solidFill>
                <a:sysClr val="windowText" lastClr="000000">
                  <a:tint val="75000"/>
                  <a:shade val="95000"/>
                  <a:satMod val="105000"/>
                </a:sysClr>
              </a:solidFill>
              <a:prstDash val="sysDash"/>
            </a:ln>
          </c:spPr>
        </c:majorGridlines>
        <c:numFmt formatCode="0.00" sourceLinked="1"/>
        <c:majorTickMark val="out"/>
        <c:minorTickMark val="none"/>
        <c:tickLblPos val="nextTo"/>
        <c:crossAx val="112769664"/>
        <c:crosses val="autoZero"/>
        <c:crossBetween val="midCat"/>
      </c:valAx>
      <c:valAx>
        <c:axId val="112769664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1276812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95712639992399"/>
          <c:y val="2.6417825129418461E-2"/>
          <c:w val="0.75890644207448865"/>
          <c:h val="0.85826541194545802"/>
        </c:manualLayout>
      </c:layout>
      <c:scatterChart>
        <c:scatterStyle val="lineMarker"/>
        <c:varyColors val="0"/>
        <c:ser>
          <c:idx val="0"/>
          <c:order val="0"/>
          <c:tx>
            <c:strRef>
              <c:f>ri!$AE$3</c:f>
              <c:strCache>
                <c:ptCount val="1"/>
                <c:pt idx="0">
                  <c:v>K1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ri!$AF$3:$AJ$3</c:f>
              <c:numCache>
                <c:formatCode>0.000</c:formatCode>
                <c:ptCount val="5"/>
                <c:pt idx="0">
                  <c:v>2.4999999999999994E-2</c:v>
                </c:pt>
                <c:pt idx="1">
                  <c:v>0.27500000000000002</c:v>
                </c:pt>
                <c:pt idx="2">
                  <c:v>0.27500000000000002</c:v>
                </c:pt>
                <c:pt idx="3">
                  <c:v>2.4999999999999994E-2</c:v>
                </c:pt>
                <c:pt idx="4">
                  <c:v>2.4999999999999994E-2</c:v>
                </c:pt>
              </c:numCache>
            </c:numRef>
          </c:xVal>
          <c:yVal>
            <c:numRef>
              <c:f>ri!$AK$3:$AO$3</c:f>
              <c:numCache>
                <c:formatCode>0.000</c:formatCode>
                <c:ptCount val="5"/>
                <c:pt idx="0">
                  <c:v>1.5</c:v>
                </c:pt>
                <c:pt idx="1">
                  <c:v>1.5</c:v>
                </c:pt>
                <c:pt idx="2">
                  <c:v>0.5</c:v>
                </c:pt>
                <c:pt idx="3">
                  <c:v>0.5</c:v>
                </c:pt>
                <c:pt idx="4">
                  <c:v>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D3-4234-A836-3171EF03C45D}"/>
            </c:ext>
          </c:extLst>
        </c:ser>
        <c:ser>
          <c:idx val="1"/>
          <c:order val="1"/>
          <c:tx>
            <c:strRef>
              <c:f>ri!$AE$4</c:f>
              <c:strCache>
                <c:ptCount val="1"/>
                <c:pt idx="0">
                  <c:v>K2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ri!$AF$4:$AJ$4</c:f>
              <c:numCache>
                <c:formatCode>0.000</c:formatCode>
                <c:ptCount val="5"/>
                <c:pt idx="0">
                  <c:v>4.6499999999999995</c:v>
                </c:pt>
                <c:pt idx="1">
                  <c:v>4.95</c:v>
                </c:pt>
                <c:pt idx="2">
                  <c:v>4.95</c:v>
                </c:pt>
                <c:pt idx="3">
                  <c:v>4.6499999999999995</c:v>
                </c:pt>
                <c:pt idx="4">
                  <c:v>4.6499999999999995</c:v>
                </c:pt>
              </c:numCache>
            </c:numRef>
          </c:xVal>
          <c:yVal>
            <c:numRef>
              <c:f>ri!$AK$4:$AO$4</c:f>
              <c:numCache>
                <c:formatCode>0.000</c:formatCode>
                <c:ptCount val="5"/>
                <c:pt idx="0">
                  <c:v>0.39546689422147413</c:v>
                </c:pt>
                <c:pt idx="1">
                  <c:v>0.39546689422147413</c:v>
                </c:pt>
                <c:pt idx="2">
                  <c:v>4.5331057785258921E-3</c:v>
                </c:pt>
                <c:pt idx="3">
                  <c:v>4.5331057785258921E-3</c:v>
                </c:pt>
                <c:pt idx="4">
                  <c:v>0.39546689422147413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D3-4234-A836-3171EF03C45D}"/>
            </c:ext>
          </c:extLst>
        </c:ser>
        <c:ser>
          <c:idx val="2"/>
          <c:order val="2"/>
          <c:tx>
            <c:strRef>
              <c:f>ri!$AE$5</c:f>
              <c:strCache>
                <c:ptCount val="1"/>
                <c:pt idx="0">
                  <c:v>K3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ri!$AF$5:$AJ$5</c:f>
              <c:numCache>
                <c:formatCode>0.000</c:formatCode>
                <c:ptCount val="5"/>
                <c:pt idx="0">
                  <c:v>7.1999999999999993</c:v>
                </c:pt>
                <c:pt idx="1">
                  <c:v>9.1999999999999993</c:v>
                </c:pt>
                <c:pt idx="2">
                  <c:v>9.1999999999999993</c:v>
                </c:pt>
                <c:pt idx="3">
                  <c:v>7.1999999999999993</c:v>
                </c:pt>
                <c:pt idx="4">
                  <c:v>7.1999999999999993</c:v>
                </c:pt>
              </c:numCache>
            </c:numRef>
          </c:xVal>
          <c:yVal>
            <c:numRef>
              <c:f>ri!$AK$5:$AO$5</c:f>
              <c:numCache>
                <c:formatCode>0.000</c:formatCode>
                <c:ptCount val="5"/>
                <c:pt idx="0">
                  <c:v>0.35</c:v>
                </c:pt>
                <c:pt idx="1">
                  <c:v>0.35</c:v>
                </c:pt>
                <c:pt idx="2">
                  <c:v>-5.0000000000000017E-2</c:v>
                </c:pt>
                <c:pt idx="3">
                  <c:v>-5.0000000000000017E-2</c:v>
                </c:pt>
                <c:pt idx="4">
                  <c:v>0.35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0D3-4234-A836-3171EF03C45D}"/>
            </c:ext>
          </c:extLst>
        </c:ser>
        <c:ser>
          <c:idx val="3"/>
          <c:order val="3"/>
          <c:tx>
            <c:strRef>
              <c:f>ri!$AE$6</c:f>
              <c:strCache>
                <c:ptCount val="1"/>
                <c:pt idx="0">
                  <c:v>K4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ri!$AF$6:$AJ$6</c:f>
              <c:numCache>
                <c:formatCode>0.000</c:formatCode>
                <c:ptCount val="5"/>
                <c:pt idx="0">
                  <c:v>4.55</c:v>
                </c:pt>
                <c:pt idx="1">
                  <c:v>5.05</c:v>
                </c:pt>
                <c:pt idx="2">
                  <c:v>5.05</c:v>
                </c:pt>
                <c:pt idx="3">
                  <c:v>4.55</c:v>
                </c:pt>
                <c:pt idx="4">
                  <c:v>4.55</c:v>
                </c:pt>
              </c:numCache>
            </c:numRef>
          </c:xVal>
          <c:yVal>
            <c:numRef>
              <c:f>ri!$AK$6:$AO$6</c:f>
              <c:numCache>
                <c:formatCode>0.000</c:formatCode>
                <c:ptCount val="5"/>
                <c:pt idx="0">
                  <c:v>4.05</c:v>
                </c:pt>
                <c:pt idx="1">
                  <c:v>4.05</c:v>
                </c:pt>
                <c:pt idx="2">
                  <c:v>3.55</c:v>
                </c:pt>
                <c:pt idx="3">
                  <c:v>3.55</c:v>
                </c:pt>
                <c:pt idx="4">
                  <c:v>4.05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D3-4234-A836-3171EF03C45D}"/>
            </c:ext>
          </c:extLst>
        </c:ser>
        <c:ser>
          <c:idx val="4"/>
          <c:order val="4"/>
          <c:tx>
            <c:strRef>
              <c:f>ri!$AE$7</c:f>
              <c:strCache>
                <c:ptCount val="1"/>
                <c:pt idx="0">
                  <c:v>K5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ri!$AF$7:$AJ$7</c:f>
              <c:numCache>
                <c:formatCode>0.000</c:formatCode>
                <c:ptCount val="5"/>
                <c:pt idx="0">
                  <c:v>7.1999999999999993</c:v>
                </c:pt>
                <c:pt idx="1">
                  <c:v>9.1999999999999993</c:v>
                </c:pt>
                <c:pt idx="2">
                  <c:v>9.1999999999999993</c:v>
                </c:pt>
                <c:pt idx="3">
                  <c:v>7.1999999999999993</c:v>
                </c:pt>
                <c:pt idx="4">
                  <c:v>7.1999999999999993</c:v>
                </c:pt>
              </c:numCache>
            </c:numRef>
          </c:xVal>
          <c:yVal>
            <c:numRef>
              <c:f>ri!$AK$7:$AO$7</c:f>
              <c:numCache>
                <c:formatCode>0.000</c:formatCode>
                <c:ptCount val="5"/>
                <c:pt idx="0">
                  <c:v>4.05</c:v>
                </c:pt>
                <c:pt idx="1">
                  <c:v>4.05</c:v>
                </c:pt>
                <c:pt idx="2">
                  <c:v>3.65</c:v>
                </c:pt>
                <c:pt idx="3">
                  <c:v>3.65</c:v>
                </c:pt>
                <c:pt idx="4">
                  <c:v>4.05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0D3-4234-A836-3171EF03C45D}"/>
            </c:ext>
          </c:extLst>
        </c:ser>
        <c:ser>
          <c:idx val="5"/>
          <c:order val="5"/>
          <c:tx>
            <c:strRef>
              <c:f>ri!$AE$8</c:f>
              <c:strCache>
                <c:ptCount val="1"/>
                <c:pt idx="0">
                  <c:v>K6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ri!$AF$8:$AJ$8</c:f>
              <c:numCache>
                <c:formatCode>0.000</c:formatCode>
                <c:ptCount val="5"/>
                <c:pt idx="0">
                  <c:v>2.7767240633598811E-2</c:v>
                </c:pt>
                <c:pt idx="1">
                  <c:v>1.3722327593664012</c:v>
                </c:pt>
                <c:pt idx="2">
                  <c:v>1.3722327593664012</c:v>
                </c:pt>
                <c:pt idx="3">
                  <c:v>2.7767240633598811E-2</c:v>
                </c:pt>
                <c:pt idx="4">
                  <c:v>2.7767240633598811E-2</c:v>
                </c:pt>
              </c:numCache>
            </c:numRef>
          </c:xVal>
          <c:yVal>
            <c:numRef>
              <c:f>ri!$AK$8:$AO$8</c:f>
              <c:numCache>
                <c:formatCode>0.000</c:formatCode>
                <c:ptCount val="5"/>
                <c:pt idx="0">
                  <c:v>6.9749999999999996</c:v>
                </c:pt>
                <c:pt idx="1">
                  <c:v>6.9749999999999996</c:v>
                </c:pt>
                <c:pt idx="2">
                  <c:v>6.7249999999999996</c:v>
                </c:pt>
                <c:pt idx="3">
                  <c:v>6.7249999999999996</c:v>
                </c:pt>
                <c:pt idx="4">
                  <c:v>6.9749999999999996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D3-4234-A836-3171EF03C45D}"/>
            </c:ext>
          </c:extLst>
        </c:ser>
        <c:ser>
          <c:idx val="6"/>
          <c:order val="6"/>
          <c:tx>
            <c:strRef>
              <c:f>ri!$AE$9</c:f>
              <c:strCache>
                <c:ptCount val="1"/>
                <c:pt idx="0">
                  <c:v>K7</c:v>
                </c:pt>
              </c:strCache>
            </c:strRef>
          </c:tx>
          <c:spPr>
            <a:ln w="2222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ri!$AF$9:$AJ$9</c:f>
              <c:numCache>
                <c:formatCode>0.000</c:formatCode>
                <c:ptCount val="5"/>
                <c:pt idx="0">
                  <c:v>4.6499999999999995</c:v>
                </c:pt>
                <c:pt idx="1">
                  <c:v>5.05</c:v>
                </c:pt>
                <c:pt idx="2">
                  <c:v>5.05</c:v>
                </c:pt>
                <c:pt idx="3">
                  <c:v>4.6499999999999995</c:v>
                </c:pt>
                <c:pt idx="4">
                  <c:v>4.6499999999999995</c:v>
                </c:pt>
              </c:numCache>
            </c:numRef>
          </c:xVal>
          <c:yVal>
            <c:numRef>
              <c:f>ri!$AK$9:$AO$9</c:f>
              <c:numCache>
                <c:formatCode>0.000</c:formatCode>
                <c:ptCount val="5"/>
                <c:pt idx="0">
                  <c:v>7.15</c:v>
                </c:pt>
                <c:pt idx="1">
                  <c:v>7.15</c:v>
                </c:pt>
                <c:pt idx="2">
                  <c:v>5.65</c:v>
                </c:pt>
                <c:pt idx="3">
                  <c:v>5.65</c:v>
                </c:pt>
                <c:pt idx="4">
                  <c:v>7.15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0D3-4234-A836-3171EF03C45D}"/>
            </c:ext>
          </c:extLst>
        </c:ser>
        <c:ser>
          <c:idx val="7"/>
          <c:order val="7"/>
          <c:tx>
            <c:v>CM</c:v>
          </c:tx>
          <c:marker>
            <c:symbol val="circle"/>
            <c:size val="7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ri!$L$20</c:f>
              <c:numCache>
                <c:formatCode>0.00</c:formatCode>
                <c:ptCount val="1"/>
                <c:pt idx="0">
                  <c:v>5.1970326409495549</c:v>
                </c:pt>
              </c:numCache>
            </c:numRef>
          </c:xVal>
          <c:yVal>
            <c:numRef>
              <c:f>ri!$L$21</c:f>
              <c:numCache>
                <c:formatCode>0.00</c:formatCode>
                <c:ptCount val="1"/>
                <c:pt idx="0">
                  <c:v>2.7342729970326412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D3-4234-A836-3171EF03C45D}"/>
            </c:ext>
          </c:extLst>
        </c:ser>
        <c:ser>
          <c:idx val="8"/>
          <c:order val="8"/>
          <c:tx>
            <c:v>CR</c:v>
          </c:tx>
          <c:marker>
            <c:symbol val="circl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ri!$W$20</c:f>
              <c:numCache>
                <c:formatCode>0.00</c:formatCode>
                <c:ptCount val="1"/>
                <c:pt idx="0">
                  <c:v>4.7969279980065984</c:v>
                </c:pt>
              </c:numCache>
            </c:numRef>
          </c:xVal>
          <c:yVal>
            <c:numRef>
              <c:f>ri!$W$21</c:f>
              <c:numCache>
                <c:formatCode>0.00</c:formatCode>
                <c:ptCount val="1"/>
                <c:pt idx="0">
                  <c:v>2.7176291938469026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0D3-4234-A836-3171EF03C45D}"/>
            </c:ext>
          </c:extLst>
        </c:ser>
        <c:ser>
          <c:idx val="9"/>
          <c:order val="9"/>
          <c:tx>
            <c:v>r</c:v>
          </c:tx>
          <c:marker>
            <c:symbol val="diamond"/>
            <c:size val="7"/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</c:spPr>
          </c:marker>
          <c:xVal>
            <c:numRef>
              <c:f>ri!$S$21</c:f>
              <c:numCache>
                <c:formatCode>0.00</c:formatCode>
                <c:ptCount val="1"/>
                <c:pt idx="0">
                  <c:v>8.2025839257371764</c:v>
                </c:pt>
              </c:numCache>
            </c:numRef>
          </c:xVal>
          <c:yVal>
            <c:numRef>
              <c:f>ri!$S$22</c:f>
              <c:numCache>
                <c:formatCode>0.00</c:formatCode>
                <c:ptCount val="1"/>
                <c:pt idx="0">
                  <c:v>4.2791926624747347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D3-4234-A836-3171EF03C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65056"/>
        <c:axId val="113166976"/>
      </c:scatterChart>
      <c:valAx>
        <c:axId val="113165056"/>
        <c:scaling>
          <c:orientation val="minMax"/>
        </c:scaling>
        <c:delete val="0"/>
        <c:axPos val="b"/>
        <c:numFmt formatCode="0.000" sourceLinked="1"/>
        <c:majorTickMark val="out"/>
        <c:minorTickMark val="none"/>
        <c:tickLblPos val="nextTo"/>
        <c:crossAx val="113166976"/>
        <c:crosses val="autoZero"/>
        <c:crossBetween val="midCat"/>
      </c:valAx>
      <c:valAx>
        <c:axId val="113166976"/>
        <c:scaling>
          <c:orientation val="minMax"/>
        </c:scaling>
        <c:delete val="0"/>
        <c:axPos val="l"/>
        <c:majorGridlines>
          <c:spPr>
            <a:ln w="3175"/>
          </c:spPr>
        </c:majorGridlines>
        <c:numFmt formatCode="0.000" sourceLinked="1"/>
        <c:majorTickMark val="out"/>
        <c:minorTickMark val="none"/>
        <c:tickLblPos val="nextTo"/>
        <c:crossAx val="1131650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trlProps/ctrlProp1.xml><?xml version="1.0" encoding="utf-8"?>
<formControlPr xmlns="http://schemas.microsoft.com/office/spreadsheetml/2009/9/main" objectType="Drop" dropStyle="combo" dx="18" fmlaLink="DATA!$I$4" fmlaRange="DATA!$G$4:$G$6" noThreeD="1" sel="2" val="0"/>
</file>

<file path=xl/ctrlProps/ctrlProp2.xml><?xml version="1.0" encoding="utf-8"?>
<formControlPr xmlns="http://schemas.microsoft.com/office/spreadsheetml/2009/9/main" objectType="Drop" dropStyle="combo" dx="18" fmlaLink="DATA!$J$10" fmlaRange="DATA!$G$10:$G$13" noThreeD="1" sel="2" val="0"/>
</file>

<file path=xl/ctrlProps/ctrlProp3.xml><?xml version="1.0" encoding="utf-8"?>
<formControlPr xmlns="http://schemas.microsoft.com/office/spreadsheetml/2009/9/main" objectType="Drop" dropStyle="combo" dx="18" fmlaLink="DATA!$D$4" fmlaRange="DATA!$C$4:$C$5" noThreeD="1" sel="2" val="0"/>
</file>

<file path=xl/ctrlProps/ctrlProp4.xml><?xml version="1.0" encoding="utf-8"?>
<formControlPr xmlns="http://schemas.microsoft.com/office/spreadsheetml/2009/9/main" objectType="Drop" dropStyle="combo" dx="18" fmlaLink="DATA!$S$4" fmlaRange="DATA!$N$12:$N$16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44825</xdr:colOff>
      <xdr:row>0</xdr:row>
      <xdr:rowOff>52295</xdr:rowOff>
    </xdr:from>
    <xdr:to>
      <xdr:col>13</xdr:col>
      <xdr:colOff>581026</xdr:colOff>
      <xdr:row>17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47625</xdr:colOff>
      <xdr:row>17</xdr:row>
      <xdr:rowOff>171450</xdr:rowOff>
    </xdr:from>
    <xdr:to>
      <xdr:col>14</xdr:col>
      <xdr:colOff>9525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590550</xdr:colOff>
      <xdr:row>0</xdr:row>
      <xdr:rowOff>38100</xdr:rowOff>
    </xdr:from>
    <xdr:to>
      <xdr:col>22</xdr:col>
      <xdr:colOff>419100</xdr:colOff>
      <xdr:row>17</xdr:row>
      <xdr:rowOff>166780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22</xdr:col>
      <xdr:colOff>352425</xdr:colOff>
      <xdr:row>35</xdr:row>
      <xdr:rowOff>19050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5</xdr:row>
          <xdr:rowOff>0</xdr:rowOff>
        </xdr:from>
        <xdr:to>
          <xdr:col>3</xdr:col>
          <xdr:colOff>495300</xdr:colOff>
          <xdr:row>6</xdr:row>
          <xdr:rowOff>9525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6</xdr:row>
          <xdr:rowOff>0</xdr:rowOff>
        </xdr:from>
        <xdr:to>
          <xdr:col>4</xdr:col>
          <xdr:colOff>9525</xdr:colOff>
          <xdr:row>7</xdr:row>
          <xdr:rowOff>9525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</xdr:row>
          <xdr:rowOff>0</xdr:rowOff>
        </xdr:from>
        <xdr:to>
          <xdr:col>4</xdr:col>
          <xdr:colOff>47625</xdr:colOff>
          <xdr:row>4</xdr:row>
          <xdr:rowOff>9525</xdr:rowOff>
        </xdr:to>
        <xdr:sp macro="" textlink="">
          <xdr:nvSpPr>
            <xdr:cNvPr id="1040" name="Drop Dow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7</xdr:row>
          <xdr:rowOff>0</xdr:rowOff>
        </xdr:from>
        <xdr:to>
          <xdr:col>4</xdr:col>
          <xdr:colOff>0</xdr:colOff>
          <xdr:row>8</xdr:row>
          <xdr:rowOff>9525</xdr:rowOff>
        </xdr:to>
        <xdr:sp macro="" textlink="">
          <xdr:nvSpPr>
            <xdr:cNvPr id="1041" name="Drop Dow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22</xdr:row>
      <xdr:rowOff>123824</xdr:rowOff>
    </xdr:from>
    <xdr:to>
      <xdr:col>14</xdr:col>
      <xdr:colOff>552450</xdr:colOff>
      <xdr:row>40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I50"/>
  <sheetViews>
    <sheetView tabSelected="1" workbookViewId="0">
      <selection activeCell="F22" sqref="F22"/>
    </sheetView>
  </sheetViews>
  <sheetFormatPr defaultRowHeight="15" x14ac:dyDescent="0.25"/>
  <cols>
    <col min="1" max="1" width="3.140625" style="19" bestFit="1" customWidth="1"/>
    <col min="2" max="2" width="8.5703125" style="19" bestFit="1" customWidth="1"/>
    <col min="3" max="3" width="2" style="19" bestFit="1" customWidth="1"/>
    <col min="4" max="4" width="7.5703125" style="20" bestFit="1" customWidth="1"/>
    <col min="5" max="5" width="6.7109375" style="63" bestFit="1" customWidth="1"/>
    <col min="6" max="6" width="46.5703125" style="21" customWidth="1"/>
    <col min="7" max="7" width="9.140625" style="19"/>
    <col min="8" max="8" width="13.7109375" style="19" bestFit="1" customWidth="1"/>
    <col min="9" max="9" width="10" style="19" customWidth="1"/>
    <col min="10" max="10" width="10.140625" style="19" customWidth="1"/>
    <col min="11" max="12" width="8.85546875" style="19" customWidth="1"/>
    <col min="13" max="16384" width="9.140625" style="19"/>
  </cols>
  <sheetData>
    <row r="1" spans="2:6" ht="15.75" customHeight="1" x14ac:dyDescent="0.25"/>
    <row r="2" spans="2:6" x14ac:dyDescent="0.25">
      <c r="B2" s="22" t="s">
        <v>19</v>
      </c>
      <c r="C2" s="19" t="s">
        <v>1</v>
      </c>
      <c r="D2" s="15">
        <v>9.81</v>
      </c>
      <c r="E2" s="63" t="s">
        <v>115</v>
      </c>
      <c r="F2" s="33" t="s">
        <v>20</v>
      </c>
    </row>
    <row r="3" spans="2:6" x14ac:dyDescent="0.25">
      <c r="B3" s="22" t="s">
        <v>18</v>
      </c>
      <c r="C3" s="19" t="s">
        <v>1</v>
      </c>
      <c r="D3" s="18">
        <v>0.2</v>
      </c>
      <c r="E3" s="63" t="s">
        <v>117</v>
      </c>
      <c r="F3" s="33" t="s">
        <v>60</v>
      </c>
    </row>
    <row r="4" spans="2:6" ht="15" customHeight="1" x14ac:dyDescent="0.25">
      <c r="B4" s="22" t="s">
        <v>46</v>
      </c>
      <c r="C4" s="19" t="s">
        <v>47</v>
      </c>
      <c r="D4" s="23" t="str">
        <f>VLOOKUP(DATA!D4,DATA!B4:C5,2)</f>
        <v>&lt; 5.5</v>
      </c>
      <c r="E4" s="63" t="s">
        <v>117</v>
      </c>
      <c r="F4" s="33" t="s">
        <v>67</v>
      </c>
    </row>
    <row r="5" spans="2:6" x14ac:dyDescent="0.25">
      <c r="B5" s="22" t="s">
        <v>93</v>
      </c>
      <c r="C5" s="19" t="s">
        <v>47</v>
      </c>
      <c r="D5" s="25" t="str">
        <f>IF(D4="&lt; 5.5","Type 2","Type 1")</f>
        <v>Type 2</v>
      </c>
      <c r="E5" s="63" t="s">
        <v>117</v>
      </c>
      <c r="F5" s="33" t="s">
        <v>68</v>
      </c>
    </row>
    <row r="6" spans="2:6" x14ac:dyDescent="0.25">
      <c r="B6" s="22" t="s">
        <v>94</v>
      </c>
      <c r="C6" s="26" t="s">
        <v>1</v>
      </c>
      <c r="D6" s="27" t="str">
        <f>VLOOKUP(DATA!I4,DATA!F4:H6,2)</f>
        <v>ΙΙ</v>
      </c>
      <c r="E6" s="63" t="s">
        <v>117</v>
      </c>
      <c r="F6" s="33" t="s">
        <v>0</v>
      </c>
    </row>
    <row r="7" spans="2:6" x14ac:dyDescent="0.25">
      <c r="B7" s="22" t="s">
        <v>95</v>
      </c>
      <c r="C7" s="26" t="s">
        <v>1</v>
      </c>
      <c r="D7" s="27" t="str">
        <f>VLOOKUP(DATA!J10,DATA!F10:H13,2)</f>
        <v>Σ2</v>
      </c>
      <c r="E7" s="63" t="s">
        <v>117</v>
      </c>
      <c r="F7" s="33" t="s">
        <v>92</v>
      </c>
    </row>
    <row r="8" spans="2:6" x14ac:dyDescent="0.25">
      <c r="B8" s="22" t="s">
        <v>96</v>
      </c>
      <c r="C8" s="19" t="s">
        <v>1</v>
      </c>
      <c r="D8" s="23" t="str">
        <f>VLOOKUP(DATA!S4,DATA!M4:R8,2)</f>
        <v>A</v>
      </c>
      <c r="E8" s="63" t="s">
        <v>117</v>
      </c>
      <c r="F8" s="33" t="s">
        <v>13</v>
      </c>
    </row>
    <row r="9" spans="2:6" x14ac:dyDescent="0.25">
      <c r="B9" s="22" t="s">
        <v>15</v>
      </c>
      <c r="C9" s="19" t="s">
        <v>1</v>
      </c>
      <c r="D9" s="23">
        <v>3.5</v>
      </c>
      <c r="E9" s="63" t="s">
        <v>117</v>
      </c>
      <c r="F9" s="33" t="s">
        <v>29</v>
      </c>
    </row>
    <row r="10" spans="2:6" ht="18" x14ac:dyDescent="0.25">
      <c r="B10" s="22" t="s">
        <v>30</v>
      </c>
      <c r="C10" s="19" t="s">
        <v>1</v>
      </c>
      <c r="D10" s="23">
        <v>1.5</v>
      </c>
      <c r="E10" s="63" t="s">
        <v>117</v>
      </c>
      <c r="F10" s="33" t="s">
        <v>31</v>
      </c>
    </row>
    <row r="11" spans="2:6" ht="18" x14ac:dyDescent="0.25">
      <c r="B11" s="22" t="s">
        <v>21</v>
      </c>
      <c r="C11" s="19" t="s">
        <v>1</v>
      </c>
      <c r="D11" s="28">
        <f>VLOOKUP(DATA!J10,DATA!F10:H13,3)</f>
        <v>1</v>
      </c>
      <c r="E11" s="63" t="s">
        <v>117</v>
      </c>
      <c r="F11" s="33" t="s">
        <v>8</v>
      </c>
    </row>
    <row r="12" spans="2:6" x14ac:dyDescent="0.25">
      <c r="B12" s="22" t="s">
        <v>72</v>
      </c>
      <c r="C12" s="19" t="s">
        <v>1</v>
      </c>
      <c r="D12" s="28">
        <f>VLOOKUP(DATA!J10,DATA!F10:I13,4)</f>
        <v>0.5</v>
      </c>
      <c r="E12" s="63" t="s">
        <v>117</v>
      </c>
      <c r="F12" s="33" t="s">
        <v>111</v>
      </c>
    </row>
    <row r="13" spans="2:6" ht="18" x14ac:dyDescent="0.25">
      <c r="B13" s="22" t="s">
        <v>48</v>
      </c>
      <c r="C13" s="19" t="s">
        <v>1</v>
      </c>
      <c r="D13" s="28">
        <f>VLOOKUP(DATA!I4,DATA!F4:H6,3)</f>
        <v>0.24</v>
      </c>
      <c r="E13" s="63" t="s">
        <v>117</v>
      </c>
      <c r="F13" s="33" t="s">
        <v>71</v>
      </c>
    </row>
    <row r="14" spans="2:6" ht="18" x14ac:dyDescent="0.25">
      <c r="B14" s="22" t="s">
        <v>81</v>
      </c>
      <c r="C14" s="19" t="s">
        <v>1</v>
      </c>
      <c r="D14" s="28">
        <f>γΙ*D13</f>
        <v>0.24</v>
      </c>
      <c r="E14" s="63" t="s">
        <v>117</v>
      </c>
      <c r="F14" s="33" t="s">
        <v>107</v>
      </c>
    </row>
    <row r="15" spans="2:6" ht="18" x14ac:dyDescent="0.25">
      <c r="B15" s="22" t="s">
        <v>82</v>
      </c>
      <c r="C15" s="19" t="s">
        <v>1</v>
      </c>
      <c r="D15" s="28">
        <f>αgNC*D12</f>
        <v>0.12</v>
      </c>
      <c r="E15" s="63" t="s">
        <v>117</v>
      </c>
      <c r="F15" s="33" t="s">
        <v>106</v>
      </c>
    </row>
    <row r="16" spans="2:6" ht="18" x14ac:dyDescent="0.25">
      <c r="B16" s="22" t="s">
        <v>69</v>
      </c>
      <c r="C16" s="19" t="s">
        <v>1</v>
      </c>
      <c r="D16" s="28">
        <f>VLOOKUP(DATA!D4,DATA!M28:R29,3)</f>
        <v>0.45</v>
      </c>
      <c r="E16" s="63" t="s">
        <v>117</v>
      </c>
      <c r="F16" s="33" t="s">
        <v>33</v>
      </c>
    </row>
    <row r="17" spans="1:6" ht="18" x14ac:dyDescent="0.25">
      <c r="B17" s="22" t="s">
        <v>70</v>
      </c>
      <c r="C17" s="19" t="s">
        <v>1</v>
      </c>
      <c r="D17" s="31">
        <f>D16*αgNC</f>
        <v>0.108</v>
      </c>
      <c r="E17" s="63" t="s">
        <v>117</v>
      </c>
      <c r="F17" s="33" t="s">
        <v>62</v>
      </c>
    </row>
    <row r="18" spans="1:6" x14ac:dyDescent="0.25">
      <c r="B18" s="22" t="s">
        <v>61</v>
      </c>
      <c r="C18" s="19" t="s">
        <v>1</v>
      </c>
      <c r="D18" s="25">
        <v>5</v>
      </c>
      <c r="E18" s="63" t="s">
        <v>23</v>
      </c>
      <c r="F18" s="33" t="s">
        <v>80</v>
      </c>
    </row>
    <row r="19" spans="1:6" x14ac:dyDescent="0.25">
      <c r="B19" s="22" t="s">
        <v>22</v>
      </c>
      <c r="C19" s="19" t="s">
        <v>1</v>
      </c>
      <c r="D19" s="28">
        <f>MAX(0.55,SQRT(10/(5+ξ)))</f>
        <v>1</v>
      </c>
      <c r="E19" s="63" t="s">
        <v>117</v>
      </c>
      <c r="F19" s="33" t="s">
        <v>24</v>
      </c>
    </row>
    <row r="20" spans="1:6" x14ac:dyDescent="0.25">
      <c r="B20" s="22" t="s">
        <v>37</v>
      </c>
      <c r="C20" s="19" t="s">
        <v>1</v>
      </c>
      <c r="D20" s="28">
        <f>VLOOKUP(DATA!S4,DATA!M4:R8,3)</f>
        <v>1</v>
      </c>
      <c r="E20" s="63" t="s">
        <v>117</v>
      </c>
      <c r="F20" s="33" t="s">
        <v>49</v>
      </c>
    </row>
    <row r="21" spans="1:6" ht="18" x14ac:dyDescent="0.25">
      <c r="B21" s="22" t="s">
        <v>83</v>
      </c>
      <c r="C21" s="19" t="s">
        <v>1</v>
      </c>
      <c r="D21" s="25">
        <v>1</v>
      </c>
      <c r="E21" s="63" t="s">
        <v>117</v>
      </c>
      <c r="F21" s="33" t="s">
        <v>59</v>
      </c>
    </row>
    <row r="22" spans="1:6" ht="18" x14ac:dyDescent="0.25">
      <c r="B22" s="22" t="s">
        <v>84</v>
      </c>
      <c r="C22" s="19" t="s">
        <v>1</v>
      </c>
      <c r="D22" s="28">
        <f>VLOOKUP(DATA!S4,DATA!M4:R8,4)</f>
        <v>0.05</v>
      </c>
      <c r="E22" s="63" t="s">
        <v>17</v>
      </c>
      <c r="F22" s="33" t="s">
        <v>89</v>
      </c>
    </row>
    <row r="23" spans="1:6" ht="18" x14ac:dyDescent="0.25">
      <c r="B23" s="22" t="s">
        <v>85</v>
      </c>
      <c r="C23" s="19" t="s">
        <v>1</v>
      </c>
      <c r="D23" s="28">
        <f>VLOOKUP(DATA!S4,DATA!M4:R8,5)</f>
        <v>0.25</v>
      </c>
      <c r="E23" s="63" t="s">
        <v>17</v>
      </c>
      <c r="F23" s="33" t="s">
        <v>90</v>
      </c>
    </row>
    <row r="24" spans="1:6" ht="18" x14ac:dyDescent="0.25">
      <c r="B24" s="22" t="s">
        <v>86</v>
      </c>
      <c r="C24" s="19" t="s">
        <v>1</v>
      </c>
      <c r="D24" s="28">
        <f>VLOOKUP(DATA!S4,DATA!M4:R8,6)</f>
        <v>1.2</v>
      </c>
      <c r="E24" s="63" t="s">
        <v>17</v>
      </c>
      <c r="F24" s="33" t="s">
        <v>91</v>
      </c>
    </row>
    <row r="25" spans="1:6" x14ac:dyDescent="0.25">
      <c r="B25" s="22" t="s">
        <v>27</v>
      </c>
      <c r="C25" s="19" t="s">
        <v>1</v>
      </c>
      <c r="D25" s="23">
        <v>0.5</v>
      </c>
      <c r="E25" s="63" t="s">
        <v>17</v>
      </c>
      <c r="F25" s="33" t="s">
        <v>28</v>
      </c>
    </row>
    <row r="26" spans="1:6" x14ac:dyDescent="0.25">
      <c r="B26" s="22" t="s">
        <v>26</v>
      </c>
      <c r="C26" s="37" t="s">
        <v>1</v>
      </c>
      <c r="D26" s="23">
        <v>100</v>
      </c>
      <c r="E26" s="63" t="s">
        <v>98</v>
      </c>
      <c r="F26" s="33" t="s">
        <v>119</v>
      </c>
    </row>
    <row r="27" spans="1:6" x14ac:dyDescent="0.25">
      <c r="B27" s="22" t="s">
        <v>99</v>
      </c>
      <c r="C27" s="37" t="s">
        <v>1</v>
      </c>
      <c r="D27" s="39">
        <f>D26*(10^3)/g</f>
        <v>10193.67991845056</v>
      </c>
      <c r="E27" s="63" t="s">
        <v>100</v>
      </c>
      <c r="F27" s="33" t="s">
        <v>101</v>
      </c>
    </row>
    <row r="28" spans="1:6" ht="18" x14ac:dyDescent="0.25">
      <c r="A28" s="56" t="s">
        <v>112</v>
      </c>
      <c r="B28" s="30" t="s">
        <v>87</v>
      </c>
      <c r="C28" s="19" t="s">
        <v>1</v>
      </c>
      <c r="D28" s="40">
        <f>IF(AND(T&gt;=0,T&lt;=TB),S*(1+(T/TB)*(2.5*n-1)),IF(AND(T&gt;=TB,T&lt;=TC),S*n*2.5,IF(AND(T&gt;=TC,T&lt;=TD),S*n*2.5*(TC/T),IF(AND(T&gt;=TD,T&lt;=4),S*2.5*n*((TC*TD)/T^2)))))</f>
        <v>1.25</v>
      </c>
      <c r="E28" s="63" t="s">
        <v>79</v>
      </c>
      <c r="F28" s="33" t="s">
        <v>50</v>
      </c>
    </row>
    <row r="29" spans="1:6" ht="18" x14ac:dyDescent="0.25">
      <c r="A29" s="56" t="s">
        <v>112</v>
      </c>
      <c r="B29" s="30" t="s">
        <v>88</v>
      </c>
      <c r="C29" s="19" t="s">
        <v>1</v>
      </c>
      <c r="D29" s="64">
        <f>MAX(β,IF(AND(T&gt;=0,T&lt;=TB),S*((2/3)+(T/TB)*((2.5/q)-(2/3))),IF(AND(T&gt;=TB,T&lt;=TC),S*2.5/q,IF(AND(T&gt;=TC,T&lt;=TD),S*(2.5/q)*(TC/T),IF(AND(T&gt;=TD,T&lt;=4),S*(2.5/q)*(TC*TD/T^2))))))</f>
        <v>0.35714285714285715</v>
      </c>
      <c r="E29" s="63" t="s">
        <v>79</v>
      </c>
      <c r="F29" s="33" t="s">
        <v>65</v>
      </c>
    </row>
    <row r="30" spans="1:6" x14ac:dyDescent="0.25">
      <c r="A30" s="56" t="s">
        <v>112</v>
      </c>
      <c r="B30" s="30" t="s">
        <v>102</v>
      </c>
      <c r="C30" s="37" t="s">
        <v>1</v>
      </c>
      <c r="D30" s="41">
        <f>$D$27*$D$28*0.001</f>
        <v>12.7420998980632</v>
      </c>
      <c r="E30" s="63" t="s">
        <v>98</v>
      </c>
      <c r="F30" s="33" t="s">
        <v>104</v>
      </c>
    </row>
    <row r="31" spans="1:6" x14ac:dyDescent="0.25">
      <c r="A31" s="56" t="s">
        <v>112</v>
      </c>
      <c r="B31" s="30" t="s">
        <v>103</v>
      </c>
      <c r="C31" s="38" t="s">
        <v>1</v>
      </c>
      <c r="D31" s="41">
        <f>$D$27*$D$29*0.001</f>
        <v>3.6405999708752002</v>
      </c>
      <c r="E31" s="63" t="s">
        <v>98</v>
      </c>
      <c r="F31" s="33" t="s">
        <v>105</v>
      </c>
    </row>
    <row r="32" spans="1:6" ht="18" x14ac:dyDescent="0.25">
      <c r="A32" s="56" t="s">
        <v>112</v>
      </c>
      <c r="B32" s="30" t="s">
        <v>97</v>
      </c>
      <c r="C32" s="19" t="s">
        <v>1</v>
      </c>
      <c r="D32" s="31">
        <f>D28*(T/(2*PI()))^2</f>
        <v>7.9157174720576404E-3</v>
      </c>
      <c r="E32" s="63" t="s">
        <v>108</v>
      </c>
      <c r="F32" s="33" t="s">
        <v>51</v>
      </c>
    </row>
    <row r="33" spans="1:6" ht="18" x14ac:dyDescent="0.25">
      <c r="A33" s="56" t="s">
        <v>112</v>
      </c>
      <c r="B33" s="22" t="s">
        <v>57</v>
      </c>
      <c r="C33" s="19" t="s">
        <v>1</v>
      </c>
      <c r="D33" s="28">
        <f>0.025*αgNC*S*TC*TD*g</f>
        <v>1.7658E-2</v>
      </c>
      <c r="E33" s="63" t="s">
        <v>108</v>
      </c>
      <c r="F33" s="33" t="s">
        <v>58</v>
      </c>
    </row>
    <row r="34" spans="1:6" ht="18" x14ac:dyDescent="0.25">
      <c r="A34" s="56" t="s">
        <v>112</v>
      </c>
      <c r="B34" s="30" t="s">
        <v>66</v>
      </c>
      <c r="C34" s="19" t="s">
        <v>1</v>
      </c>
      <c r="D34" s="28">
        <f>IF(AND(T&gt;=0,T&lt;=DATA!$P$28),(1+(T/DATA!$P$28)*(3*n-1)),IF(AND(T&gt;=DATA!$P$28,T&lt;=DATA!$Q$28),n*3,IF(AND(T&gt;=DATA!$Q$28,T&lt;=DATA!$R$28),n*3*(DATA!$Q$28/T),IF(AND(T&gt;=DATA!$R$28,T&lt;=4),3*n*(DATA!$Q$28*DATA!$R$28/T^2)))))</f>
        <v>0.89999999999999991</v>
      </c>
      <c r="E34" s="63" t="s">
        <v>118</v>
      </c>
      <c r="F34" s="33" t="s">
        <v>116</v>
      </c>
    </row>
    <row r="35" spans="1:6" ht="18" x14ac:dyDescent="0.25">
      <c r="A35" s="56" t="s">
        <v>112</v>
      </c>
      <c r="B35" s="30" t="s">
        <v>63</v>
      </c>
      <c r="C35" s="19" t="s">
        <v>1</v>
      </c>
      <c r="D35" s="28">
        <f>MAX(β,IF(AND(T&gt;=0,T&lt;=DATA!$P$28),((2/3)+(T/DATA!$P$28)*((3/q_v)-(2/3))),IF(AND(T&gt;=DATA!$P$28,T&lt;=DATA!$Q$28),3/q_v,IF(AND(T&gt;=DATA!$Q$28,T&lt;=DATA!$R$28),(3/q_v)*(DATA!$Q$28/T),IF(AND(T&gt;=DATA!$R$28,T&lt;=4),(3/q_v)*(DATA!$Q$28*DATA!$R$28/(T^2)))))))</f>
        <v>0.6</v>
      </c>
      <c r="E35" s="63" t="s">
        <v>118</v>
      </c>
      <c r="F35" s="33" t="s">
        <v>64</v>
      </c>
    </row>
    <row r="38" spans="1:6" x14ac:dyDescent="0.25">
      <c r="D38" s="19"/>
      <c r="F38" s="19"/>
    </row>
    <row r="40" spans="1:6" x14ac:dyDescent="0.25">
      <c r="D40" s="19"/>
      <c r="F40" s="19"/>
    </row>
    <row r="49" spans="9:9" x14ac:dyDescent="0.25">
      <c r="I49" s="24"/>
    </row>
    <row r="50" spans="9:9" x14ac:dyDescent="0.25">
      <c r="I50" s="24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print="0" autoLine="0" autoPict="0">
                <anchor moveWithCells="1">
                  <from>
                    <xdr:col>3</xdr:col>
                    <xdr:colOff>9525</xdr:colOff>
                    <xdr:row>5</xdr:row>
                    <xdr:rowOff>0</xdr:rowOff>
                  </from>
                  <to>
                    <xdr:col>3</xdr:col>
                    <xdr:colOff>495300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print="0" autoLine="0" autoPict="0">
                <anchor moveWithCells="1">
                  <from>
                    <xdr:col>3</xdr:col>
                    <xdr:colOff>9525</xdr:colOff>
                    <xdr:row>6</xdr:row>
                    <xdr:rowOff>0</xdr:rowOff>
                  </from>
                  <to>
                    <xdr:col>4</xdr:col>
                    <xdr:colOff>9525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6" name="Drop Down 16">
              <controlPr defaultSize="0" print="0" autoLine="0" autoPict="0">
                <anchor moveWithCells="1">
                  <from>
                    <xdr:col>3</xdr:col>
                    <xdr:colOff>9525</xdr:colOff>
                    <xdr:row>3</xdr:row>
                    <xdr:rowOff>0</xdr:rowOff>
                  </from>
                  <to>
                    <xdr:col>4</xdr:col>
                    <xdr:colOff>47625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7" name="Drop Down 17">
              <controlPr defaultSize="0" print="0" autoLine="0" autoPict="0">
                <anchor moveWithCells="1">
                  <from>
                    <xdr:col>3</xdr:col>
                    <xdr:colOff>9525</xdr:colOff>
                    <xdr:row>7</xdr:row>
                    <xdr:rowOff>0</xdr:rowOff>
                  </from>
                  <to>
                    <xdr:col>4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S54"/>
  <sheetViews>
    <sheetView zoomScale="85" zoomScaleNormal="85" workbookViewId="0">
      <selection activeCell="E8" sqref="E8"/>
    </sheetView>
  </sheetViews>
  <sheetFormatPr defaultRowHeight="15" x14ac:dyDescent="0.25"/>
  <cols>
    <col min="1" max="1" width="7.42578125" style="2" bestFit="1" customWidth="1"/>
    <col min="2" max="2" width="6" style="2" bestFit="1" customWidth="1"/>
    <col min="3" max="3" width="11" style="2" bestFit="1" customWidth="1"/>
    <col min="4" max="4" width="11" style="2" customWidth="1"/>
    <col min="5" max="7" width="9.140625" style="2"/>
    <col min="8" max="8" width="11" style="2" customWidth="1"/>
    <col min="9" max="16384" width="9.140625" style="2"/>
  </cols>
  <sheetData>
    <row r="2" spans="2:19" x14ac:dyDescent="0.25">
      <c r="B2" s="138" t="s">
        <v>43</v>
      </c>
      <c r="C2" s="139"/>
      <c r="D2" s="139"/>
      <c r="F2" s="138" t="s">
        <v>0</v>
      </c>
      <c r="G2" s="139"/>
      <c r="H2" s="139"/>
      <c r="I2" s="140"/>
      <c r="L2" s="146" t="s">
        <v>16</v>
      </c>
      <c r="M2" s="141" t="str">
        <f xml:space="preserve"> IF(S4=1,M10,M18)</f>
        <v>Κατηγορία εδάφους Tύπος φάσματος 1</v>
      </c>
      <c r="N2" s="142"/>
      <c r="O2" s="142"/>
      <c r="P2" s="142"/>
      <c r="Q2" s="142"/>
      <c r="R2" s="142"/>
      <c r="S2" s="142"/>
    </row>
    <row r="3" spans="2:19" ht="45.75" customHeight="1" x14ac:dyDescent="0.25">
      <c r="B3" s="1" t="s">
        <v>5</v>
      </c>
      <c r="C3" s="14" t="s">
        <v>6</v>
      </c>
      <c r="D3" s="1" t="s">
        <v>7</v>
      </c>
      <c r="F3" s="1" t="s">
        <v>5</v>
      </c>
      <c r="G3" s="1" t="s">
        <v>6</v>
      </c>
      <c r="H3" s="13" t="s">
        <v>14</v>
      </c>
      <c r="I3" s="1" t="s">
        <v>7</v>
      </c>
      <c r="L3" s="146"/>
      <c r="M3" s="1" t="s">
        <v>5</v>
      </c>
      <c r="N3" s="1" t="s">
        <v>6</v>
      </c>
      <c r="O3" s="1" t="s">
        <v>37</v>
      </c>
      <c r="P3" s="1" t="s">
        <v>38</v>
      </c>
      <c r="Q3" s="1" t="s">
        <v>39</v>
      </c>
      <c r="R3" s="17" t="s">
        <v>40</v>
      </c>
      <c r="S3" s="17" t="s">
        <v>7</v>
      </c>
    </row>
    <row r="4" spans="2:19" x14ac:dyDescent="0.25">
      <c r="B4" s="3">
        <v>1</v>
      </c>
      <c r="C4" s="4" t="s">
        <v>45</v>
      </c>
      <c r="D4" s="6">
        <v>2</v>
      </c>
      <c r="F4" s="3">
        <v>1</v>
      </c>
      <c r="G4" s="4" t="s">
        <v>2</v>
      </c>
      <c r="H4" s="5">
        <v>0.16</v>
      </c>
      <c r="I4" s="6">
        <v>2</v>
      </c>
      <c r="L4" s="146"/>
      <c r="M4" s="4">
        <v>1</v>
      </c>
      <c r="N4" s="4" t="s">
        <v>25</v>
      </c>
      <c r="O4" s="4">
        <f>IF(D4=1,O12,O20)</f>
        <v>1</v>
      </c>
      <c r="P4" s="4">
        <f>IF($D$4=1,P12,P20)</f>
        <v>0.05</v>
      </c>
      <c r="Q4" s="4">
        <f>IF($D$4=1,Q12,Q20)</f>
        <v>0.25</v>
      </c>
      <c r="R4" s="4">
        <f>IF($D$4=1,R12,R20)</f>
        <v>1.2</v>
      </c>
      <c r="S4" s="6">
        <v>1</v>
      </c>
    </row>
    <row r="5" spans="2:19" x14ac:dyDescent="0.25">
      <c r="B5" s="11">
        <v>2</v>
      </c>
      <c r="C5" s="11" t="s">
        <v>44</v>
      </c>
      <c r="F5" s="7">
        <v>2</v>
      </c>
      <c r="G5" s="8" t="s">
        <v>3</v>
      </c>
      <c r="H5" s="9">
        <v>0.24</v>
      </c>
      <c r="L5" s="146"/>
      <c r="M5" s="8">
        <v>2</v>
      </c>
      <c r="N5" s="8" t="s">
        <v>26</v>
      </c>
      <c r="O5" s="8">
        <f>IF(D4=1,O13,O21)</f>
        <v>1.35</v>
      </c>
      <c r="P5" s="8">
        <f t="shared" ref="P5:R8" si="0">IF($D$4=1,P13,P21)</f>
        <v>0.05</v>
      </c>
      <c r="Q5" s="8">
        <f t="shared" si="0"/>
        <v>0.25</v>
      </c>
      <c r="R5" s="8">
        <f t="shared" si="0"/>
        <v>1.2</v>
      </c>
    </row>
    <row r="6" spans="2:19" x14ac:dyDescent="0.25">
      <c r="F6" s="10">
        <v>3</v>
      </c>
      <c r="G6" s="11" t="s">
        <v>4</v>
      </c>
      <c r="H6" s="12">
        <v>0.36</v>
      </c>
      <c r="L6" s="146"/>
      <c r="M6" s="8">
        <v>3</v>
      </c>
      <c r="N6" s="8" t="s">
        <v>34</v>
      </c>
      <c r="O6" s="8">
        <f>IF(D4=1,O14,O22)</f>
        <v>1.5</v>
      </c>
      <c r="P6" s="8">
        <f t="shared" si="0"/>
        <v>0.1</v>
      </c>
      <c r="Q6" s="8">
        <f t="shared" si="0"/>
        <v>0.25</v>
      </c>
      <c r="R6" s="8">
        <f t="shared" si="0"/>
        <v>1.2</v>
      </c>
    </row>
    <row r="7" spans="2:19" x14ac:dyDescent="0.25">
      <c r="L7" s="146"/>
      <c r="M7" s="8">
        <v>4</v>
      </c>
      <c r="N7" s="8" t="s">
        <v>35</v>
      </c>
      <c r="O7" s="8">
        <f>IF(D4=1,O15,O23)</f>
        <v>1.8</v>
      </c>
      <c r="P7" s="8">
        <f t="shared" si="0"/>
        <v>0.1</v>
      </c>
      <c r="Q7" s="8">
        <f t="shared" si="0"/>
        <v>0.3</v>
      </c>
      <c r="R7" s="8">
        <f t="shared" si="0"/>
        <v>1.2</v>
      </c>
    </row>
    <row r="8" spans="2:19" x14ac:dyDescent="0.25">
      <c r="F8" s="143" t="s">
        <v>8</v>
      </c>
      <c r="G8" s="144"/>
      <c r="H8" s="144"/>
      <c r="I8" s="144"/>
      <c r="J8" s="144"/>
      <c r="L8" s="146"/>
      <c r="M8" s="11">
        <v>5</v>
      </c>
      <c r="N8" s="11" t="s">
        <v>36</v>
      </c>
      <c r="O8" s="11">
        <f>IF(D4=1,O16,O24)</f>
        <v>1.6</v>
      </c>
      <c r="P8" s="11">
        <f t="shared" si="0"/>
        <v>0.05</v>
      </c>
      <c r="Q8" s="11">
        <f t="shared" si="0"/>
        <v>0.25</v>
      </c>
      <c r="R8" s="11">
        <f t="shared" si="0"/>
        <v>1.2</v>
      </c>
    </row>
    <row r="9" spans="2:19" ht="15" customHeight="1" x14ac:dyDescent="0.25">
      <c r="F9" s="1" t="s">
        <v>5</v>
      </c>
      <c r="G9" s="1" t="s">
        <v>6</v>
      </c>
      <c r="H9" s="1" t="s">
        <v>73</v>
      </c>
      <c r="I9" s="1" t="s">
        <v>74</v>
      </c>
      <c r="J9" s="1" t="s">
        <v>7</v>
      </c>
    </row>
    <row r="10" spans="2:19" x14ac:dyDescent="0.25">
      <c r="F10" s="3">
        <v>1</v>
      </c>
      <c r="G10" s="4" t="s">
        <v>9</v>
      </c>
      <c r="H10" s="5">
        <v>0.8</v>
      </c>
      <c r="I10" s="4">
        <v>0.5</v>
      </c>
      <c r="J10" s="32">
        <v>2</v>
      </c>
      <c r="L10" s="145" t="s">
        <v>42</v>
      </c>
      <c r="M10" s="141" t="s">
        <v>75</v>
      </c>
      <c r="N10" s="142"/>
      <c r="O10" s="142"/>
      <c r="P10" s="142"/>
      <c r="Q10" s="142"/>
      <c r="R10" s="142"/>
    </row>
    <row r="11" spans="2:19" x14ac:dyDescent="0.25">
      <c r="F11" s="7">
        <v>2</v>
      </c>
      <c r="G11" s="8" t="s">
        <v>10</v>
      </c>
      <c r="H11" s="9">
        <v>1</v>
      </c>
      <c r="I11" s="8">
        <v>0.5</v>
      </c>
      <c r="L11" s="145"/>
      <c r="M11" s="1" t="s">
        <v>5</v>
      </c>
      <c r="N11" s="1" t="s">
        <v>6</v>
      </c>
      <c r="O11" s="1" t="s">
        <v>37</v>
      </c>
      <c r="P11" s="1" t="s">
        <v>38</v>
      </c>
      <c r="Q11" s="1" t="s">
        <v>39</v>
      </c>
      <c r="R11" s="17" t="s">
        <v>40</v>
      </c>
    </row>
    <row r="12" spans="2:19" ht="15" customHeight="1" x14ac:dyDescent="0.25">
      <c r="F12" s="7">
        <v>3</v>
      </c>
      <c r="G12" s="8" t="s">
        <v>11</v>
      </c>
      <c r="H12" s="9">
        <v>1.2</v>
      </c>
      <c r="I12" s="8">
        <v>0.4</v>
      </c>
      <c r="L12" s="145"/>
      <c r="M12" s="4">
        <v>1</v>
      </c>
      <c r="N12" s="4" t="s">
        <v>25</v>
      </c>
      <c r="O12" s="4">
        <v>1</v>
      </c>
      <c r="P12" s="4">
        <v>0.15</v>
      </c>
      <c r="Q12" s="4">
        <v>0.4</v>
      </c>
      <c r="R12" s="4">
        <v>2.5</v>
      </c>
    </row>
    <row r="13" spans="2:19" x14ac:dyDescent="0.25">
      <c r="F13" s="10">
        <v>4</v>
      </c>
      <c r="G13" s="11" t="s">
        <v>12</v>
      </c>
      <c r="H13" s="12">
        <v>1.4</v>
      </c>
      <c r="I13" s="11">
        <v>0.4</v>
      </c>
      <c r="L13" s="145"/>
      <c r="M13" s="8">
        <v>2</v>
      </c>
      <c r="N13" s="8" t="s">
        <v>26</v>
      </c>
      <c r="O13" s="8">
        <v>1.2</v>
      </c>
      <c r="P13" s="8">
        <v>0.15</v>
      </c>
      <c r="Q13" s="8">
        <v>0.5</v>
      </c>
      <c r="R13" s="8">
        <v>2.5</v>
      </c>
    </row>
    <row r="14" spans="2:19" x14ac:dyDescent="0.25">
      <c r="L14" s="145"/>
      <c r="M14" s="8">
        <v>3</v>
      </c>
      <c r="N14" s="8" t="s">
        <v>34</v>
      </c>
      <c r="O14" s="8">
        <v>1.1499999999999999</v>
      </c>
      <c r="P14" s="8">
        <v>0.2</v>
      </c>
      <c r="Q14" s="8">
        <v>0.6</v>
      </c>
      <c r="R14" s="8">
        <v>2.5</v>
      </c>
    </row>
    <row r="15" spans="2:19" ht="15" customHeight="1" x14ac:dyDescent="0.25">
      <c r="L15" s="145"/>
      <c r="M15" s="8">
        <v>4</v>
      </c>
      <c r="N15" s="8" t="s">
        <v>35</v>
      </c>
      <c r="O15" s="8">
        <v>1.35</v>
      </c>
      <c r="P15" s="8">
        <v>0.2</v>
      </c>
      <c r="Q15" s="8">
        <v>0.8</v>
      </c>
      <c r="R15" s="8">
        <v>2.5</v>
      </c>
    </row>
    <row r="16" spans="2:19" ht="15" customHeight="1" x14ac:dyDescent="0.25">
      <c r="L16" s="145"/>
      <c r="M16" s="11">
        <v>5</v>
      </c>
      <c r="N16" s="11" t="s">
        <v>36</v>
      </c>
      <c r="O16" s="11">
        <v>1.4</v>
      </c>
      <c r="P16" s="11">
        <v>0.15</v>
      </c>
      <c r="Q16" s="11">
        <v>0.5</v>
      </c>
      <c r="R16" s="11">
        <v>2.5</v>
      </c>
    </row>
    <row r="18" spans="2:19" ht="15" customHeight="1" x14ac:dyDescent="0.25">
      <c r="L18" s="145" t="s">
        <v>41</v>
      </c>
      <c r="M18" s="141" t="s">
        <v>76</v>
      </c>
      <c r="N18" s="142"/>
      <c r="O18" s="142"/>
      <c r="P18" s="142"/>
      <c r="Q18" s="142"/>
      <c r="R18" s="142"/>
    </row>
    <row r="19" spans="2:19" x14ac:dyDescent="0.25">
      <c r="L19" s="145"/>
      <c r="M19" s="1" t="s">
        <v>5</v>
      </c>
      <c r="N19" s="1" t="s">
        <v>6</v>
      </c>
      <c r="O19" s="1" t="s">
        <v>37</v>
      </c>
      <c r="P19" s="1" t="s">
        <v>38</v>
      </c>
      <c r="Q19" s="1" t="s">
        <v>39</v>
      </c>
      <c r="R19" s="17" t="s">
        <v>40</v>
      </c>
    </row>
    <row r="20" spans="2:19" x14ac:dyDescent="0.25">
      <c r="L20" s="145"/>
      <c r="M20" s="4">
        <v>1</v>
      </c>
      <c r="N20" s="4" t="s">
        <v>25</v>
      </c>
      <c r="O20" s="4">
        <v>1</v>
      </c>
      <c r="P20" s="4">
        <v>0.05</v>
      </c>
      <c r="Q20" s="4">
        <v>0.25</v>
      </c>
      <c r="R20" s="4">
        <v>1.2</v>
      </c>
    </row>
    <row r="21" spans="2:19" x14ac:dyDescent="0.25">
      <c r="L21" s="145"/>
      <c r="M21" s="8">
        <v>2</v>
      </c>
      <c r="N21" s="8" t="s">
        <v>26</v>
      </c>
      <c r="O21" s="8">
        <v>1.35</v>
      </c>
      <c r="P21" s="8">
        <v>0.05</v>
      </c>
      <c r="Q21" s="8">
        <v>0.25</v>
      </c>
      <c r="R21" s="8">
        <v>1.2</v>
      </c>
    </row>
    <row r="22" spans="2:19" x14ac:dyDescent="0.25">
      <c r="L22" s="145"/>
      <c r="M22" s="8">
        <v>3</v>
      </c>
      <c r="N22" s="8" t="s">
        <v>34</v>
      </c>
      <c r="O22" s="8">
        <v>1.5</v>
      </c>
      <c r="P22" s="8">
        <v>0.1</v>
      </c>
      <c r="Q22" s="8">
        <v>0.25</v>
      </c>
      <c r="R22" s="8">
        <v>1.2</v>
      </c>
    </row>
    <row r="23" spans="2:19" x14ac:dyDescent="0.25">
      <c r="L23" s="145"/>
      <c r="M23" s="8">
        <v>4</v>
      </c>
      <c r="N23" s="8" t="s">
        <v>35</v>
      </c>
      <c r="O23" s="8">
        <v>1.8</v>
      </c>
      <c r="P23" s="8">
        <v>0.1</v>
      </c>
      <c r="Q23" s="8">
        <v>0.3</v>
      </c>
      <c r="R23" s="8">
        <v>1.2</v>
      </c>
    </row>
    <row r="24" spans="2:19" ht="15" customHeight="1" x14ac:dyDescent="0.25">
      <c r="L24" s="145"/>
      <c r="M24" s="11">
        <v>5</v>
      </c>
      <c r="N24" s="11" t="s">
        <v>36</v>
      </c>
      <c r="O24" s="11">
        <v>1.6</v>
      </c>
      <c r="P24" s="11">
        <v>0.05</v>
      </c>
      <c r="Q24" s="11">
        <v>0.25</v>
      </c>
      <c r="R24" s="11">
        <v>1.2</v>
      </c>
    </row>
    <row r="26" spans="2:19" ht="15" customHeight="1" x14ac:dyDescent="0.25">
      <c r="M26" s="141" t="s">
        <v>55</v>
      </c>
      <c r="N26" s="142"/>
      <c r="O26" s="142"/>
      <c r="P26" s="142"/>
      <c r="Q26" s="142"/>
      <c r="R26" s="142"/>
      <c r="S26" s="142"/>
    </row>
    <row r="27" spans="2:19" ht="15" customHeight="1" x14ac:dyDescent="0.25">
      <c r="M27" s="1" t="s">
        <v>5</v>
      </c>
      <c r="N27" s="14" t="s">
        <v>52</v>
      </c>
      <c r="O27" s="1" t="s">
        <v>56</v>
      </c>
      <c r="P27" s="1" t="s">
        <v>38</v>
      </c>
      <c r="Q27" s="1" t="s">
        <v>39</v>
      </c>
      <c r="R27" s="1" t="s">
        <v>40</v>
      </c>
      <c r="S27" s="1" t="s">
        <v>7</v>
      </c>
    </row>
    <row r="28" spans="2:19" ht="15" customHeight="1" x14ac:dyDescent="0.25">
      <c r="M28" s="3">
        <v>1</v>
      </c>
      <c r="N28" s="4" t="s">
        <v>53</v>
      </c>
      <c r="O28" s="3">
        <v>0.9</v>
      </c>
      <c r="P28" s="3">
        <v>0.05</v>
      </c>
      <c r="Q28" s="3">
        <v>0.15</v>
      </c>
      <c r="R28" s="3">
        <v>1</v>
      </c>
      <c r="S28" s="6">
        <f>D4</f>
        <v>2</v>
      </c>
    </row>
    <row r="29" spans="2:19" ht="15" customHeight="1" x14ac:dyDescent="0.25">
      <c r="M29" s="11">
        <v>2</v>
      </c>
      <c r="N29" s="11" t="s">
        <v>54</v>
      </c>
      <c r="O29" s="11">
        <v>0.45</v>
      </c>
      <c r="P29" s="11">
        <v>0.05</v>
      </c>
      <c r="Q29" s="11">
        <v>0.15</v>
      </c>
      <c r="R29" s="11">
        <v>1</v>
      </c>
    </row>
    <row r="30" spans="2:19" ht="15" customHeight="1" x14ac:dyDescent="0.25">
      <c r="B30"/>
      <c r="C30"/>
    </row>
    <row r="31" spans="2:19" x14ac:dyDescent="0.25">
      <c r="B31"/>
      <c r="C31"/>
      <c r="D31"/>
    </row>
    <row r="34" ht="15" customHeight="1" x14ac:dyDescent="0.25"/>
    <row r="36" ht="15" customHeight="1" x14ac:dyDescent="0.25"/>
    <row r="42" ht="15" customHeight="1" x14ac:dyDescent="0.25"/>
    <row r="51" ht="15" customHeight="1" x14ac:dyDescent="0.25"/>
    <row r="54" ht="15" customHeight="1" x14ac:dyDescent="0.25"/>
  </sheetData>
  <mergeCells count="10">
    <mergeCell ref="F2:I2"/>
    <mergeCell ref="B2:D2"/>
    <mergeCell ref="M26:S26"/>
    <mergeCell ref="F8:J8"/>
    <mergeCell ref="L10:L16"/>
    <mergeCell ref="L18:L24"/>
    <mergeCell ref="L2:L8"/>
    <mergeCell ref="M2:S2"/>
    <mergeCell ref="M10:R10"/>
    <mergeCell ref="M18:R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workbookViewId="0">
      <pane xSplit="2" ySplit="3" topLeftCell="H4" activePane="bottomRight" state="frozen"/>
      <selection pane="topRight" activeCell="C1" sqref="C1"/>
      <selection pane="bottomLeft" activeCell="A4" sqref="A4"/>
      <selection pane="bottomRight" activeCell="H4" sqref="H4"/>
    </sheetView>
  </sheetViews>
  <sheetFormatPr defaultRowHeight="15" x14ac:dyDescent="0.25"/>
  <cols>
    <col min="1" max="1" width="5.42578125" bestFit="1" customWidth="1"/>
    <col min="2" max="2" width="12.7109375" bestFit="1" customWidth="1"/>
    <col min="3" max="3" width="19.28515625" customWidth="1"/>
    <col min="4" max="4" width="20.140625" customWidth="1"/>
    <col min="5" max="5" width="19.42578125" customWidth="1"/>
    <col min="6" max="18" width="19.140625" customWidth="1"/>
  </cols>
  <sheetData>
    <row r="1" spans="1:18" ht="15.75" thickBot="1" x14ac:dyDescent="0.3">
      <c r="A1" s="34" t="s">
        <v>78</v>
      </c>
      <c r="B1" s="35">
        <v>0.05</v>
      </c>
      <c r="C1" s="147" t="s">
        <v>109</v>
      </c>
      <c r="D1" s="148"/>
      <c r="E1" s="148"/>
      <c r="F1" s="149"/>
      <c r="G1" s="147" t="s">
        <v>110</v>
      </c>
      <c r="H1" s="148"/>
      <c r="I1" s="148"/>
      <c r="J1" s="149"/>
      <c r="K1" s="147" t="s">
        <v>113</v>
      </c>
      <c r="L1" s="148"/>
      <c r="M1" s="148"/>
      <c r="N1" s="149"/>
      <c r="O1" s="147" t="s">
        <v>114</v>
      </c>
      <c r="P1" s="148"/>
      <c r="Q1" s="148"/>
      <c r="R1" s="149"/>
    </row>
    <row r="2" spans="1:18" x14ac:dyDescent="0.25">
      <c r="A2" s="19"/>
      <c r="B2" s="42" t="s">
        <v>32</v>
      </c>
      <c r="C2" s="150" t="s">
        <v>77</v>
      </c>
      <c r="D2" s="151"/>
      <c r="E2" s="43"/>
      <c r="F2" s="44"/>
      <c r="G2" s="150" t="s">
        <v>37</v>
      </c>
      <c r="H2" s="151"/>
      <c r="I2" s="43"/>
      <c r="J2" s="44"/>
      <c r="K2" s="150" t="s">
        <v>77</v>
      </c>
      <c r="L2" s="151"/>
      <c r="M2" s="43"/>
      <c r="N2" s="44"/>
      <c r="O2" s="150" t="s">
        <v>37</v>
      </c>
      <c r="P2" s="151"/>
      <c r="Q2" s="43"/>
      <c r="R2" s="44"/>
    </row>
    <row r="3" spans="1:18" ht="29.25" customHeight="1" thickBot="1" x14ac:dyDescent="0.3">
      <c r="A3" s="19"/>
      <c r="B3" s="42" t="s">
        <v>27</v>
      </c>
      <c r="C3" s="45" t="str">
        <f>CONCATENATE("NC_Hor_Se(T)/ag, ",'EC8-GR'!$D$5,",",'EC8-GR'!$D$7,",",'EC8-GR'!$D$8)</f>
        <v>NC_Hor_Se(T)/ag, Type 2,Σ2,A</v>
      </c>
      <c r="D3" s="36" t="str">
        <f>CONCATENATE("NC_Hor_Sd(T)/ag, ",'EC8-GR'!$D$5,",",'EC8-GR'!$D$7,",",'EC8-GR'!$D$8,",","q=",q)</f>
        <v>NC_Hor_Sd(T)/ag, Type 2,Σ2,A,q=3.5</v>
      </c>
      <c r="E3" s="36" t="str">
        <f>CONCATENATE("DL_Hor_Se(T)/ag, ",'EC8-GR'!$D$5,",",'EC8-GR'!$D$7,",",'EC8-GR'!$D$8)</f>
        <v>DL_Hor_Se(T)/ag, Type 2,Σ2,A</v>
      </c>
      <c r="F3" s="46" t="str">
        <f>CONCATENATE("DL_Hor_Sd(T)/ag, ",'EC8-GR'!$D$5,",",'EC8-GR'!$D$7,",",'EC8-GR'!$D$8,",","q=",q)</f>
        <v>DL_Hor_Sd(T)/ag, Type 2,Σ2,A,q=3.5</v>
      </c>
      <c r="G3" s="45" t="str">
        <f>CONCATENATE("NC_HOR_Se(T), ",'EC8-GR'!$D$5,",",'EC8-GR'!$D$7,",",'EC8-GR'!$D$8)</f>
        <v>NC_HOR_Se(T), Type 2,Σ2,A</v>
      </c>
      <c r="H3" s="36" t="str">
        <f>CONCATENATE("NC_HOR_Sd(T), ",'EC8-GR'!$D$5,",",'EC8-GR'!$D$7,",",'EC8-GR'!$D$8,",","q=",q)</f>
        <v>NC_HOR_Sd(T), Type 2,Σ2,A,q=3.5</v>
      </c>
      <c r="I3" s="36" t="str">
        <f>CONCATENATE("DL_HOR_Se(T), ",'EC8-GR'!$D$5,",",'EC8-GR'!$D$7,",",'EC8-GR'!$D$8)</f>
        <v>DL_HOR_Se(T), Type 2,Σ2,A</v>
      </c>
      <c r="J3" s="46" t="str">
        <f>CONCATENATE("DL_HOR_Sd(T), ",'EC8-GR'!$D$5,",",'EC8-GR'!$D$7,",",'EC8-GR'!$D$8,",","q=",q)</f>
        <v>DL_HOR_Sd(T), Type 2,Σ2,A,q=3.5</v>
      </c>
      <c r="K3" s="57" t="str">
        <f>CONCATENATE("NC_VER_Se(T)/avg, ",'EC8-GR'!$D$5,",",'EC8-GR'!$D$7,",",'EC8-GR'!$D$8)</f>
        <v>NC_VER_Se(T)/avg, Type 2,Σ2,A</v>
      </c>
      <c r="L3" s="58" t="str">
        <f>CONCATENATE("NC_VER_Sd(T)/avg, ",'EC8-GR'!$D$5,",",'EC8-GR'!$D$7,",","q=",q_v)</f>
        <v>NC_VER_Sd(T)/avg, Type 2,Σ2,q=1.5</v>
      </c>
      <c r="M3" s="58" t="str">
        <f>CONCATENATE("DL_VER_Se(T)/avg, ",'EC8-GR'!$D$5,",",'EC8-GR'!$D$7,",",'EC8-GR'!$D$8)</f>
        <v>DL_VER_Se(T)/avg, Type 2,Σ2,A</v>
      </c>
      <c r="N3" s="59" t="str">
        <f>CONCATENATE("DL_VER_Sd(T)/avg, ",'EC8-GR'!$D$5,",",'EC8-GR'!$D$7,",",'EC8-GR'!$D$8,",","q=",q_v)</f>
        <v>DL_VER_Sd(T)/avg, Type 2,Σ2,A,q=1.5</v>
      </c>
      <c r="O3" s="45" t="str">
        <f>CONCATENATE("NC_VER_Se(T), ",'EC8-GR'!$D$5,",",'EC8-GR'!$D$7,",",'EC8-GR'!$D$8)</f>
        <v>NC_VER_Se(T), Type 2,Σ2,A</v>
      </c>
      <c r="P3" s="36" t="str">
        <f>CONCATENATE("NC_VER_Sd(T), ",'EC8-GR'!$D$5,",",'EC8-GR'!$D$7,",",'EC8-GR'!$D$8,",","q=",q_v)</f>
        <v>NC_VER_Sd(T), Type 2,Σ2,A,q=1.5</v>
      </c>
      <c r="Q3" s="36" t="str">
        <f>CONCATENATE("DL_VER_Se(T), ",'EC8-GR'!$D$5,",",'EC8-GR'!$D$7,",",'EC8-GR'!$D$8)</f>
        <v>DL_VER_Se(T), Type 2,Σ2,A</v>
      </c>
      <c r="R3" s="46" t="str">
        <f>CONCATENATE("DL_VER_Sd(T), ",'EC8-GR'!$D$5,",",'EC8-GR'!$D$7,",",'EC8-GR'!$D$8,",","q=",q_v)</f>
        <v>DL_VER_Sd(T), Type 2,Σ2,A,q=1.5</v>
      </c>
    </row>
    <row r="4" spans="1:18" x14ac:dyDescent="0.25">
      <c r="A4" s="19"/>
      <c r="B4" s="16">
        <v>0</v>
      </c>
      <c r="C4" s="47">
        <f t="shared" ref="C4:C47" si="0">IF(AND($B4&gt;=0,$B4&lt;=TB),S*(1+($B4/TB)*(2.5*n-1)),IF(AND($B4&gt;=TB,$B4&lt;=TC),S*n*2.5,IF(AND($B4&gt;=TC,$B4&lt;=TD),S*n*2.5*(TC/$B4),IF(AND($B4&gt;=TD,$B4&lt;=4),S*2.5*n*(TC*TD/$B4^2)))))</f>
        <v>1</v>
      </c>
      <c r="D4" s="48">
        <f t="shared" ref="D4:D47" si="1">MAX(0.2,IF(AND($B4&gt;=0,$B4&lt;=TB),S*((2/3)+($B4/TB)*((2.5/q)-(2/3))),IF(AND($B4&gt;=TB,$B4&lt;=TC),S*2.5/q,IF(AND($B4&gt;=TC,$B4&lt;=TD),S*(2.5/q)*(TC/$B4),IF(AND($B4&gt;=TD,$B4&lt;=4),S*(2.5/q)*(TC*TD/$B4^2))))))</f>
        <v>0.66666666666666663</v>
      </c>
      <c r="E4" s="48">
        <f t="shared" ref="E4:E47" si="2">v*IF(AND($B4&gt;=0,$B4&lt;=TB),S*(1+($B4/TB)*(2.5*n-1)),IF(AND($B4&gt;=TB,$B4&lt;=TC),S*n*2.5,IF(AND($B4&gt;=TC,$B4&lt;=TD),S*n*2.5*(TC/$B4),IF(AND($B4&gt;=TD,$B4&lt;=4),S*2.5*n*(TC*TD/$B4^2)))))</f>
        <v>0.5</v>
      </c>
      <c r="F4" s="49">
        <f t="shared" ref="F4:F47" si="3">v*MAX(0.2,IF(AND($B4&gt;=0,$B4&lt;=TB),S*((2/3)+($B4/TB)*((2.5/q)-(2/3))),IF(AND($B4&gt;=TB,$B4&lt;=TC),S*2.5/q,IF(AND($B4&gt;=TC,$B4&lt;=TD),S*(2.5/q)*(TC/$B4),IF(AND($B4&gt;=TD,$B4&lt;=4),S*(2.5/q)*(TC*TD/$B4^2))))))</f>
        <v>0.33333333333333331</v>
      </c>
      <c r="G4" s="47">
        <f t="shared" ref="G4:G47" si="4">g*αgNC*IF(AND($B4&gt;=0,$B4&lt;=TB),S*(1+($B4/TB)*(2.5*n-1)),IF(AND($B4&gt;=TB,$B4&lt;=TC),S*n*2.5,IF(AND($B4&gt;=TC,$B4&lt;=TD),S*n*2.5*(TC/$B4),IF(AND($B4&gt;=TD,$B4&lt;=4),S*2.5*n*(TC*TD/$B4^2)))))</f>
        <v>2.3544</v>
      </c>
      <c r="H4" s="48">
        <f t="shared" ref="H4:H47" si="5">g*αgNC*MAX(0.2,IF(AND($B4&gt;=0,$B4&lt;=TB),S*((2/3)+($B4/TB)*((2.5/q)-(2/3))),IF(AND($B4&gt;=TB,$B4&lt;=TC),S*2.5/q,IF(AND($B4&gt;=TC,$B4&lt;=TD),S*(2.5/q)*(TC/$B4),IF(AND($B4&gt;=TD,$B4&lt;=4),S*(2.5/q)*(TC*TD/$B4^2))))))</f>
        <v>1.5695999999999999</v>
      </c>
      <c r="I4" s="48">
        <f t="shared" ref="I4:I47" si="6">g*αgNC*v*IF(AND($B4&gt;=0,$B4&lt;=TB),S*(1+($B4/TB)*(2.5*n-1)),IF(AND($B4&gt;=TB,$B4&lt;=TC),S*n*2.5,IF(AND($B4&gt;=TC,$B4&lt;=TD),S*n*2.5*(TC/$B4),IF(AND($B4&gt;=TD,$B4&lt;=4),S*2.5*n*(TC*TD/$B4^2)))))</f>
        <v>1.1772</v>
      </c>
      <c r="J4" s="49">
        <f t="shared" ref="J4:J47" si="7">g*αgNC*v*MAX(0.2,IF(AND($B4&gt;=0,$B4&lt;=TB),S*((2/3)+($B4/TB)*((2.5/q)-(2/3))),IF(AND($B4&gt;=TB,$B4&lt;=TC),S*2.5/q,IF(AND($B4&gt;=TC,$B4&lt;=TD),S*(2.5/q)*(TC/$B4),IF(AND($B4&gt;=TD,$B4&lt;=4),S*(2.5/q)*(TC*TD/$B4^2))))))</f>
        <v>0.78479999999999994</v>
      </c>
      <c r="K4" s="60">
        <f>IF(AND($B4&gt;=0,$B4&lt;=DATA!$P$28),(1+($B4/DATA!$P$28)*(3*n-1)),IF(AND($B4&gt;=DATA!$P$28,$B4&lt;=DATA!$Q$28),n*3,IF(AND($B4&gt;=DATA!$Q$28,$B4&lt;=DATA!$R$28),n*3*(DATA!$Q$28/$B4),IF(AND($B4&gt;=DATA!$R$28,$B4&lt;=4),3*n*(DATA!$Q$28*DATA!$R$28/$B4^2)))))</f>
        <v>1</v>
      </c>
      <c r="L4" s="61">
        <f>MAX(0.2,IF(AND($B4&gt;=0,$B4&lt;=DATA!$P$28),((2/3)+($B4/DATA!$P$28)*((3/q_v)-(2/3))),IF(AND($B4&gt;=DATA!$P$28,$B4&lt;=DATA!$Q$28),3/q_v,IF(AND($B4&gt;=DATA!$Q$28,$B4&lt;=DATA!$R$28),(3/q_v)*(DATA!$Q$28/$B4),IF(AND($B4&gt;=DATA!$R$28,$B4&lt;=4),(3/q_v)*(DATA!$Q$28*DATA!$R$28/($B4^2)))))))</f>
        <v>0.66666666666666663</v>
      </c>
      <c r="M4" s="61">
        <f>v*IF(AND($B4&gt;=0,$B4&lt;=DATA!$P$28),(1+($B4/DATA!$P$28)*(3*n-1)),IF(AND($B4&gt;=DATA!$P$28,$B4&lt;=DATA!$Q$28),n*3,IF(AND($B4&gt;=DATA!$Q$28,$B4&lt;=DATA!$R$28),n*3*(DATA!$Q$28/$B4),IF(AND($B4&gt;=DATA!$R$28,$B4&lt;=4),3*n*(DATA!$Q$28*DATA!$R$28/$B4^2)))))</f>
        <v>0.5</v>
      </c>
      <c r="N4" s="62">
        <f>MAX(0.2,v*IF(AND($B4&gt;=0,$B4&lt;=DATA!$P$28),((2/3)+($B4/DATA!$P$28)*((3/q_v)-(2/3))),IF(AND($B4&gt;=DATA!$P$28,$B4&lt;=DATA!$Q$28),3/q_v,IF(AND($B4&gt;=DATA!$Q$28,$B4&lt;=DATA!$R$28),(3/q_v)*(DATA!$Q$28/$B4),IF(AND($B4&gt;=DATA!$R$28,$B4&lt;=4),(3/q_v)*(DATA!$Q$28*DATA!$R$28/($B4^2)))))))</f>
        <v>0.33333333333333331</v>
      </c>
      <c r="O4" s="60">
        <f>g*avg*IF(AND($B4&gt;=0,$B4&lt;=DATA!$P$28),(1+($B4/DATA!$P$28)*(3*n-1)),IF(AND($B4&gt;=DATA!$P$28,$B4&lt;=DATA!$Q$28),n*3,IF(AND($B4&gt;=DATA!$Q$28,$B4&lt;=DATA!$R$28),n*3*(DATA!$Q$28/$B4),IF(AND($B4&gt;=DATA!$R$28,$B4&lt;=4),3*n*(DATA!$Q$28*DATA!$R$28/$B4^2)))))</f>
        <v>1.05948</v>
      </c>
      <c r="P4" s="61">
        <f>MAX(0.2*g*avg,g*avg*IF(AND($B4&gt;=0,$B4&lt;=DATA!$P$28),((2/3)+($B4/DATA!$P$28)*((3/q_v)-(2/3))),IF(AND($B4&gt;=DATA!$P$28,$B4&lt;=DATA!$Q$28),3/q_v,IF(AND($B4&gt;=DATA!$Q$28,$B4&lt;=DATA!$R$28),(3/q_v)*(DATA!$Q$28/$B4),IF(AND($B4&gt;=DATA!$R$28,$B4&lt;=4),(3/q_v)*(DATA!$Q$28*DATA!$R$28/($B4^2)))))))</f>
        <v>0.70631999999999995</v>
      </c>
      <c r="Q4" s="61">
        <f>g*avg*v*IF(AND($B4&gt;=0,$B4&lt;=DATA!$P$28),(1+($B4/DATA!$P$28)*(3*n-1)),IF(AND($B4&gt;=DATA!$P$28,$B4&lt;=DATA!$Q$28),n*3,IF(AND($B4&gt;=DATA!$Q$28,$B4&lt;=DATA!$R$28),n*3*(DATA!$Q$28/$B4),IF(AND($B4&gt;=DATA!$R$28,$B4&lt;=4),3*n*(DATA!$Q$28*DATA!$R$28/$B4^2)))))</f>
        <v>0.52973999999999999</v>
      </c>
      <c r="R4" s="62">
        <f>MAX(0.2*g*avg*v,g*avg*v*IF(AND($B4&gt;=0,$B4&lt;=DATA!$P$28),((2/3)+($B4/DATA!$P$28)*((3/q_v)-(2/3))),IF(AND($B4&gt;=DATA!$P$28,$B4&lt;=DATA!$Q$28),3/q_v,IF(AND($B4&gt;=DATA!$Q$28,$B4&lt;=DATA!$R$28),(3/q_v)*(DATA!$Q$28/$B4),IF(AND($B4&gt;=DATA!$R$28,$B4&lt;=4),(3/q_v)*(DATA!$Q$28*DATA!$R$28/($B4^2)))))))</f>
        <v>0.35315999999999997</v>
      </c>
    </row>
    <row r="5" spans="1:18" x14ac:dyDescent="0.25">
      <c r="A5" s="19"/>
      <c r="B5" s="16">
        <f t="shared" ref="B5:B47" si="8">B4+$B$1</f>
        <v>0.05</v>
      </c>
      <c r="C5" s="50">
        <f t="shared" si="0"/>
        <v>2.5</v>
      </c>
      <c r="D5" s="51">
        <f t="shared" si="1"/>
        <v>0.7142857142857143</v>
      </c>
      <c r="E5" s="51">
        <f t="shared" si="2"/>
        <v>1.25</v>
      </c>
      <c r="F5" s="52">
        <f t="shared" si="3"/>
        <v>0.35714285714285715</v>
      </c>
      <c r="G5" s="50">
        <f t="shared" si="4"/>
        <v>5.8860000000000001</v>
      </c>
      <c r="H5" s="51">
        <f t="shared" si="5"/>
        <v>1.6817142857142857</v>
      </c>
      <c r="I5" s="51">
        <f t="shared" si="6"/>
        <v>2.9430000000000001</v>
      </c>
      <c r="J5" s="52">
        <f t="shared" si="7"/>
        <v>0.84085714285714286</v>
      </c>
      <c r="K5" s="50">
        <f>IF(AND($B5&gt;=0,$B5&lt;=DATA!$P$28),(1+($B5/DATA!$P$28)*(3*n-1)),IF(AND($B5&gt;=DATA!$P$28,$B5&lt;=DATA!$Q$28),n*3,IF(AND($B5&gt;=DATA!$Q$28,$B5&lt;=DATA!$R$28),n*3*(DATA!$Q$28/$B5),IF(AND($B5&gt;=DATA!$R$28,$B5&lt;=4),3*n*(DATA!$Q$28*DATA!$R$28/$B5^2)))))</f>
        <v>3</v>
      </c>
      <c r="L5" s="51">
        <f>MAX(0.2,IF(AND($B5&gt;=0,$B5&lt;=DATA!$P$28),((2/3)+($B5/DATA!$P$28)*((3/q_v)-(2/3))),IF(AND($B5&gt;=DATA!$P$28,$B5&lt;=DATA!$Q$28),3/q_v,IF(AND($B5&gt;=DATA!$Q$28,$B5&lt;=DATA!$R$28),(3/q_v)*(DATA!$Q$28/$B5),IF(AND($B5&gt;=DATA!$R$28,$B5&lt;=4),(3/q_v)*(DATA!$Q$28*DATA!$R$28/($B5^2)))))))</f>
        <v>2</v>
      </c>
      <c r="M5" s="51">
        <f>v*IF(AND($B5&gt;=0,$B5&lt;=DATA!$P$28),(1+($B5/DATA!$P$28)*(3*n-1)),IF(AND($B5&gt;=DATA!$P$28,$B5&lt;=DATA!$Q$28),n*3,IF(AND($B5&gt;=DATA!$Q$28,$B5&lt;=DATA!$R$28),n*3*(DATA!$Q$28/$B5),IF(AND($B5&gt;=DATA!$R$28,$B5&lt;=4),3*n*(DATA!$Q$28*DATA!$R$28/$B5^2)))))</f>
        <v>1.5</v>
      </c>
      <c r="N5" s="52">
        <f>MAX(0.2,v*IF(AND($B5&gt;=0,$B5&lt;=DATA!$P$28),((2/3)+($B5/DATA!$P$28)*((3/q_v)-(2/3))),IF(AND($B5&gt;=DATA!$P$28,$B5&lt;=DATA!$Q$28),3/q_v,IF(AND($B5&gt;=DATA!$Q$28,$B5&lt;=DATA!$R$28),(3/q_v)*(DATA!$Q$28/$B5),IF(AND($B5&gt;=DATA!$R$28,$B5&lt;=4),(3/q_v)*(DATA!$Q$28*DATA!$R$28/($B5^2)))))))</f>
        <v>1</v>
      </c>
      <c r="O5" s="50">
        <f>g*avg*IF(AND($B5&gt;=0,$B5&lt;=DATA!$P$28),(1+($B5/DATA!$P$28)*(3*n-1)),IF(AND($B5&gt;=DATA!$P$28,$B5&lt;=DATA!$Q$28),n*3,IF(AND($B5&gt;=DATA!$Q$28,$B5&lt;=DATA!$R$28),n*3*(DATA!$Q$28/$B5),IF(AND($B5&gt;=DATA!$R$28,$B5&lt;=4),3*n*(DATA!$Q$28*DATA!$R$28/$B5^2)))))</f>
        <v>3.1784400000000002</v>
      </c>
      <c r="P5" s="51">
        <f>MAX(0.2*g*avg,g*avg*IF(AND($B5&gt;=0,$B5&lt;=DATA!$P$28),((2/3)+($B5/DATA!$P$28)*((3/q_v)-(2/3))),IF(AND($B5&gt;=DATA!$P$28,$B5&lt;=DATA!$Q$28),3/q_v,IF(AND($B5&gt;=DATA!$Q$28,$B5&lt;=DATA!$R$28),(3/q_v)*(DATA!$Q$28/$B5),IF(AND($B5&gt;=DATA!$R$28,$B5&lt;=4),(3/q_v)*(DATA!$Q$28*DATA!$R$28/($B5^2)))))))</f>
        <v>2.11896</v>
      </c>
      <c r="Q5" s="51">
        <f>g*avg*v*IF(AND($B5&gt;=0,$B5&lt;=DATA!$P$28),(1+($B5/DATA!$P$28)*(3*n-1)),IF(AND($B5&gt;=DATA!$P$28,$B5&lt;=DATA!$Q$28),n*3,IF(AND($B5&gt;=DATA!$Q$28,$B5&lt;=DATA!$R$28),n*3*(DATA!$Q$28/$B5),IF(AND($B5&gt;=DATA!$R$28,$B5&lt;=4),3*n*(DATA!$Q$28*DATA!$R$28/$B5^2)))))</f>
        <v>1.5892200000000001</v>
      </c>
      <c r="R5" s="52">
        <f>MAX(0.2*g*avg*v,g*avg*v*IF(AND($B5&gt;=0,$B5&lt;=DATA!$P$28),((2/3)+($B5/DATA!$P$28)*((3/q_v)-(2/3))),IF(AND($B5&gt;=DATA!$P$28,$B5&lt;=DATA!$Q$28),3/q_v,IF(AND($B5&gt;=DATA!$Q$28,$B5&lt;=DATA!$R$28),(3/q_v)*(DATA!$Q$28/$B5),IF(AND($B5&gt;=DATA!$R$28,$B5&lt;=4),(3/q_v)*(DATA!$Q$28*DATA!$R$28/($B5^2)))))))</f>
        <v>1.05948</v>
      </c>
    </row>
    <row r="6" spans="1:18" x14ac:dyDescent="0.25">
      <c r="A6" s="19"/>
      <c r="B6" s="16">
        <f t="shared" si="8"/>
        <v>0.1</v>
      </c>
      <c r="C6" s="50">
        <f t="shared" si="0"/>
        <v>2.5</v>
      </c>
      <c r="D6" s="51">
        <f t="shared" si="1"/>
        <v>0.7142857142857143</v>
      </c>
      <c r="E6" s="51">
        <f t="shared" si="2"/>
        <v>1.25</v>
      </c>
      <c r="F6" s="52">
        <f t="shared" si="3"/>
        <v>0.35714285714285715</v>
      </c>
      <c r="G6" s="50">
        <f t="shared" si="4"/>
        <v>5.8860000000000001</v>
      </c>
      <c r="H6" s="51">
        <f t="shared" si="5"/>
        <v>1.6817142857142857</v>
      </c>
      <c r="I6" s="51">
        <f t="shared" si="6"/>
        <v>2.9430000000000001</v>
      </c>
      <c r="J6" s="52">
        <f t="shared" si="7"/>
        <v>0.84085714285714286</v>
      </c>
      <c r="K6" s="50">
        <f>IF(AND($B6&gt;=0,$B6&lt;=DATA!$P$28),(1+($B6/DATA!$P$28)*(3*n-1)),IF(AND($B6&gt;=DATA!$P$28,$B6&lt;=DATA!$Q$28),n*3,IF(AND($B6&gt;=DATA!$Q$28,$B6&lt;=DATA!$R$28),n*3*(DATA!$Q$28/$B6),IF(AND($B6&gt;=DATA!$R$28,$B6&lt;=4),3*n*(DATA!$Q$28*DATA!$R$28/$B6^2)))))</f>
        <v>3</v>
      </c>
      <c r="L6" s="51">
        <f>MAX(0.2,IF(AND($B6&gt;=0,$B6&lt;=DATA!$P$28),((2/3)+($B6/DATA!$P$28)*((3/q_v)-(2/3))),IF(AND($B6&gt;=DATA!$P$28,$B6&lt;=DATA!$Q$28),3/q_v,IF(AND($B6&gt;=DATA!$Q$28,$B6&lt;=DATA!$R$28),(3/q_v)*(DATA!$Q$28/$B6),IF(AND($B6&gt;=DATA!$R$28,$B6&lt;=4),(3/q_v)*(DATA!$Q$28*DATA!$R$28/($B6^2)))))))</f>
        <v>2</v>
      </c>
      <c r="M6" s="51">
        <f>v*IF(AND($B6&gt;=0,$B6&lt;=DATA!$P$28),(1+($B6/DATA!$P$28)*(3*n-1)),IF(AND($B6&gt;=DATA!$P$28,$B6&lt;=DATA!$Q$28),n*3,IF(AND($B6&gt;=DATA!$Q$28,$B6&lt;=DATA!$R$28),n*3*(DATA!$Q$28/$B6),IF(AND($B6&gt;=DATA!$R$28,$B6&lt;=4),3*n*(DATA!$Q$28*DATA!$R$28/$B6^2)))))</f>
        <v>1.5</v>
      </c>
      <c r="N6" s="52">
        <f>MAX(0.2,v*IF(AND($B6&gt;=0,$B6&lt;=DATA!$P$28),((2/3)+($B6/DATA!$P$28)*((3/q_v)-(2/3))),IF(AND($B6&gt;=DATA!$P$28,$B6&lt;=DATA!$Q$28),3/q_v,IF(AND($B6&gt;=DATA!$Q$28,$B6&lt;=DATA!$R$28),(3/q_v)*(DATA!$Q$28/$B6),IF(AND($B6&gt;=DATA!$R$28,$B6&lt;=4),(3/q_v)*(DATA!$Q$28*DATA!$R$28/($B6^2)))))))</f>
        <v>1</v>
      </c>
      <c r="O6" s="50">
        <f>g*avg*IF(AND($B6&gt;=0,$B6&lt;=DATA!$P$28),(1+($B6/DATA!$P$28)*(3*n-1)),IF(AND($B6&gt;=DATA!$P$28,$B6&lt;=DATA!$Q$28),n*3,IF(AND($B6&gt;=DATA!$Q$28,$B6&lt;=DATA!$R$28),n*3*(DATA!$Q$28/$B6),IF(AND($B6&gt;=DATA!$R$28,$B6&lt;=4),3*n*(DATA!$Q$28*DATA!$R$28/$B6^2)))))</f>
        <v>3.1784400000000002</v>
      </c>
      <c r="P6" s="51">
        <f>MAX(0.2*g*avg,g*avg*IF(AND($B6&gt;=0,$B6&lt;=DATA!$P$28),((2/3)+($B6/DATA!$P$28)*((3/q_v)-(2/3))),IF(AND($B6&gt;=DATA!$P$28,$B6&lt;=DATA!$Q$28),3/q_v,IF(AND($B6&gt;=DATA!$Q$28,$B6&lt;=DATA!$R$28),(3/q_v)*(DATA!$Q$28/$B6),IF(AND($B6&gt;=DATA!$R$28,$B6&lt;=4),(3/q_v)*(DATA!$Q$28*DATA!$R$28/($B6^2)))))))</f>
        <v>2.11896</v>
      </c>
      <c r="Q6" s="51">
        <f>g*avg*v*IF(AND($B6&gt;=0,$B6&lt;=DATA!$P$28),(1+($B6/DATA!$P$28)*(3*n-1)),IF(AND($B6&gt;=DATA!$P$28,$B6&lt;=DATA!$Q$28),n*3,IF(AND($B6&gt;=DATA!$Q$28,$B6&lt;=DATA!$R$28),n*3*(DATA!$Q$28/$B6),IF(AND($B6&gt;=DATA!$R$28,$B6&lt;=4),3*n*(DATA!$Q$28*DATA!$R$28/$B6^2)))))</f>
        <v>1.5892200000000001</v>
      </c>
      <c r="R6" s="52">
        <f>MAX(0.2*g*avg*v,g*avg*v*IF(AND($B6&gt;=0,$B6&lt;=DATA!$P$28),((2/3)+($B6/DATA!$P$28)*((3/q_v)-(2/3))),IF(AND($B6&gt;=DATA!$P$28,$B6&lt;=DATA!$Q$28),3/q_v,IF(AND($B6&gt;=DATA!$Q$28,$B6&lt;=DATA!$R$28),(3/q_v)*(DATA!$Q$28/$B6),IF(AND($B6&gt;=DATA!$R$28,$B6&lt;=4),(3/q_v)*(DATA!$Q$28*DATA!$R$28/($B6^2)))))))</f>
        <v>1.05948</v>
      </c>
    </row>
    <row r="7" spans="1:18" x14ac:dyDescent="0.25">
      <c r="A7" s="19"/>
      <c r="B7" s="16">
        <f t="shared" si="8"/>
        <v>0.15000000000000002</v>
      </c>
      <c r="C7" s="50">
        <f t="shared" si="0"/>
        <v>2.5</v>
      </c>
      <c r="D7" s="51">
        <f t="shared" si="1"/>
        <v>0.7142857142857143</v>
      </c>
      <c r="E7" s="51">
        <f t="shared" si="2"/>
        <v>1.25</v>
      </c>
      <c r="F7" s="52">
        <f t="shared" si="3"/>
        <v>0.35714285714285715</v>
      </c>
      <c r="G7" s="50">
        <f t="shared" si="4"/>
        <v>5.8860000000000001</v>
      </c>
      <c r="H7" s="51">
        <f t="shared" si="5"/>
        <v>1.6817142857142857</v>
      </c>
      <c r="I7" s="51">
        <f t="shared" si="6"/>
        <v>2.9430000000000001</v>
      </c>
      <c r="J7" s="52">
        <f t="shared" si="7"/>
        <v>0.84085714285714286</v>
      </c>
      <c r="K7" s="50">
        <f>IF(AND($B7&gt;=0,$B7&lt;=DATA!$P$28),(1+($B7/DATA!$P$28)*(3*n-1)),IF(AND($B7&gt;=DATA!$P$28,$B7&lt;=DATA!$Q$28),n*3,IF(AND($B7&gt;=DATA!$Q$28,$B7&lt;=DATA!$R$28),n*3*(DATA!$Q$28/$B7),IF(AND($B7&gt;=DATA!$R$28,$B7&lt;=4),3*n*(DATA!$Q$28*DATA!$R$28/$B7^2)))))</f>
        <v>3</v>
      </c>
      <c r="L7" s="51">
        <f>MAX(0.2,IF(AND($B7&gt;=0,$B7&lt;=DATA!$P$28),((2/3)+($B7/DATA!$P$28)*((3/q_v)-(2/3))),IF(AND($B7&gt;=DATA!$P$28,$B7&lt;=DATA!$Q$28),3/q_v,IF(AND($B7&gt;=DATA!$Q$28,$B7&lt;=DATA!$R$28),(3/q_v)*(DATA!$Q$28/$B7),IF(AND($B7&gt;=DATA!$R$28,$B7&lt;=4),(3/q_v)*(DATA!$Q$28*DATA!$R$28/($B7^2)))))))</f>
        <v>2</v>
      </c>
      <c r="M7" s="51">
        <f>v*IF(AND($B7&gt;=0,$B7&lt;=DATA!$P$28),(1+($B7/DATA!$P$28)*(3*n-1)),IF(AND($B7&gt;=DATA!$P$28,$B7&lt;=DATA!$Q$28),n*3,IF(AND($B7&gt;=DATA!$Q$28,$B7&lt;=DATA!$R$28),n*3*(DATA!$Q$28/$B7),IF(AND($B7&gt;=DATA!$R$28,$B7&lt;=4),3*n*(DATA!$Q$28*DATA!$R$28/$B7^2)))))</f>
        <v>1.5</v>
      </c>
      <c r="N7" s="52">
        <f>MAX(0.2,v*IF(AND($B7&gt;=0,$B7&lt;=DATA!$P$28),((2/3)+($B7/DATA!$P$28)*((3/q_v)-(2/3))),IF(AND($B7&gt;=DATA!$P$28,$B7&lt;=DATA!$Q$28),3/q_v,IF(AND($B7&gt;=DATA!$Q$28,$B7&lt;=DATA!$R$28),(3/q_v)*(DATA!$Q$28/$B7),IF(AND($B7&gt;=DATA!$R$28,$B7&lt;=4),(3/q_v)*(DATA!$Q$28*DATA!$R$28/($B7^2)))))))</f>
        <v>1</v>
      </c>
      <c r="O7" s="50">
        <f>g*avg*IF(AND($B7&gt;=0,$B7&lt;=DATA!$P$28),(1+($B7/DATA!$P$28)*(3*n-1)),IF(AND($B7&gt;=DATA!$P$28,$B7&lt;=DATA!$Q$28),n*3,IF(AND($B7&gt;=DATA!$Q$28,$B7&lt;=DATA!$R$28),n*3*(DATA!$Q$28/$B7),IF(AND($B7&gt;=DATA!$R$28,$B7&lt;=4),3*n*(DATA!$Q$28*DATA!$R$28/$B7^2)))))</f>
        <v>3.1784400000000002</v>
      </c>
      <c r="P7" s="51">
        <f>MAX(0.2*g*avg,g*avg*IF(AND($B7&gt;=0,$B7&lt;=DATA!$P$28),((2/3)+($B7/DATA!$P$28)*((3/q_v)-(2/3))),IF(AND($B7&gt;=DATA!$P$28,$B7&lt;=DATA!$Q$28),3/q_v,IF(AND($B7&gt;=DATA!$Q$28,$B7&lt;=DATA!$R$28),(3/q_v)*(DATA!$Q$28/$B7),IF(AND($B7&gt;=DATA!$R$28,$B7&lt;=4),(3/q_v)*(DATA!$Q$28*DATA!$R$28/($B7^2)))))))</f>
        <v>2.11896</v>
      </c>
      <c r="Q7" s="51">
        <f>g*avg*v*IF(AND($B7&gt;=0,$B7&lt;=DATA!$P$28),(1+($B7/DATA!$P$28)*(3*n-1)),IF(AND($B7&gt;=DATA!$P$28,$B7&lt;=DATA!$Q$28),n*3,IF(AND($B7&gt;=DATA!$Q$28,$B7&lt;=DATA!$R$28),n*3*(DATA!$Q$28/$B7),IF(AND($B7&gt;=DATA!$R$28,$B7&lt;=4),3*n*(DATA!$Q$28*DATA!$R$28/$B7^2)))))</f>
        <v>1.5892200000000001</v>
      </c>
      <c r="R7" s="52">
        <f>MAX(0.2*g*avg*v,g*avg*v*IF(AND($B7&gt;=0,$B7&lt;=DATA!$P$28),((2/3)+($B7/DATA!$P$28)*((3/q_v)-(2/3))),IF(AND($B7&gt;=DATA!$P$28,$B7&lt;=DATA!$Q$28),3/q_v,IF(AND($B7&gt;=DATA!$Q$28,$B7&lt;=DATA!$R$28),(3/q_v)*(DATA!$Q$28/$B7),IF(AND($B7&gt;=DATA!$R$28,$B7&lt;=4),(3/q_v)*(DATA!$Q$28*DATA!$R$28/($B7^2)))))))</f>
        <v>1.05948</v>
      </c>
    </row>
    <row r="8" spans="1:18" x14ac:dyDescent="0.25">
      <c r="A8" s="19"/>
      <c r="B8" s="16">
        <f t="shared" si="8"/>
        <v>0.2</v>
      </c>
      <c r="C8" s="50">
        <f t="shared" si="0"/>
        <v>2.5</v>
      </c>
      <c r="D8" s="51">
        <f t="shared" si="1"/>
        <v>0.7142857142857143</v>
      </c>
      <c r="E8" s="51">
        <f t="shared" si="2"/>
        <v>1.25</v>
      </c>
      <c r="F8" s="52">
        <f t="shared" si="3"/>
        <v>0.35714285714285715</v>
      </c>
      <c r="G8" s="50">
        <f t="shared" si="4"/>
        <v>5.8860000000000001</v>
      </c>
      <c r="H8" s="51">
        <f t="shared" si="5"/>
        <v>1.6817142857142857</v>
      </c>
      <c r="I8" s="51">
        <f t="shared" si="6"/>
        <v>2.9430000000000001</v>
      </c>
      <c r="J8" s="52">
        <f t="shared" si="7"/>
        <v>0.84085714285714286</v>
      </c>
      <c r="K8" s="50">
        <f>IF(AND($B8&gt;=0,$B8&lt;=DATA!$P$28),(1+($B8/DATA!$P$28)*(3*n-1)),IF(AND($B8&gt;=DATA!$P$28,$B8&lt;=DATA!$Q$28),n*3,IF(AND($B8&gt;=DATA!$Q$28,$B8&lt;=DATA!$R$28),n*3*(DATA!$Q$28/$B8),IF(AND($B8&gt;=DATA!$R$28,$B8&lt;=4),3*n*(DATA!$Q$28*DATA!$R$28/$B8^2)))))</f>
        <v>2.2499999999999996</v>
      </c>
      <c r="L8" s="51">
        <f>MAX(0.2,IF(AND($B8&gt;=0,$B8&lt;=DATA!$P$28),((2/3)+($B8/DATA!$P$28)*((3/q_v)-(2/3))),IF(AND($B8&gt;=DATA!$P$28,$B8&lt;=DATA!$Q$28),3/q_v,IF(AND($B8&gt;=DATA!$Q$28,$B8&lt;=DATA!$R$28),(3/q_v)*(DATA!$Q$28/$B8),IF(AND($B8&gt;=DATA!$R$28,$B8&lt;=4),(3/q_v)*(DATA!$Q$28*DATA!$R$28/($B8^2)))))))</f>
        <v>1.4999999999999998</v>
      </c>
      <c r="M8" s="51">
        <f>v*IF(AND($B8&gt;=0,$B8&lt;=DATA!$P$28),(1+($B8/DATA!$P$28)*(3*n-1)),IF(AND($B8&gt;=DATA!$P$28,$B8&lt;=DATA!$Q$28),n*3,IF(AND($B8&gt;=DATA!$Q$28,$B8&lt;=DATA!$R$28),n*3*(DATA!$Q$28/$B8),IF(AND($B8&gt;=DATA!$R$28,$B8&lt;=4),3*n*(DATA!$Q$28*DATA!$R$28/$B8^2)))))</f>
        <v>1.1249999999999998</v>
      </c>
      <c r="N8" s="52">
        <f>MAX(0.2,v*IF(AND($B8&gt;=0,$B8&lt;=DATA!$P$28),((2/3)+($B8/DATA!$P$28)*((3/q_v)-(2/3))),IF(AND($B8&gt;=DATA!$P$28,$B8&lt;=DATA!$Q$28),3/q_v,IF(AND($B8&gt;=DATA!$Q$28,$B8&lt;=DATA!$R$28),(3/q_v)*(DATA!$Q$28/$B8),IF(AND($B8&gt;=DATA!$R$28,$B8&lt;=4),(3/q_v)*(DATA!$Q$28*DATA!$R$28/($B8^2)))))))</f>
        <v>0.74999999999999989</v>
      </c>
      <c r="O8" s="50">
        <f>g*avg*IF(AND($B8&gt;=0,$B8&lt;=DATA!$P$28),(1+($B8/DATA!$P$28)*(3*n-1)),IF(AND($B8&gt;=DATA!$P$28,$B8&lt;=DATA!$Q$28),n*3,IF(AND($B8&gt;=DATA!$Q$28,$B8&lt;=DATA!$R$28),n*3*(DATA!$Q$28/$B8),IF(AND($B8&gt;=DATA!$R$28,$B8&lt;=4),3*n*(DATA!$Q$28*DATA!$R$28/$B8^2)))))</f>
        <v>2.3838299999999997</v>
      </c>
      <c r="P8" s="51">
        <f>MAX(0.2*g*avg,g*avg*IF(AND($B8&gt;=0,$B8&lt;=DATA!$P$28),((2/3)+($B8/DATA!$P$28)*((3/q_v)-(2/3))),IF(AND($B8&gt;=DATA!$P$28,$B8&lt;=DATA!$Q$28),3/q_v,IF(AND($B8&gt;=DATA!$Q$28,$B8&lt;=DATA!$R$28),(3/q_v)*(DATA!$Q$28/$B8),IF(AND($B8&gt;=DATA!$R$28,$B8&lt;=4),(3/q_v)*(DATA!$Q$28*DATA!$R$28/($B8^2)))))))</f>
        <v>1.5892199999999996</v>
      </c>
      <c r="Q8" s="51">
        <f>g*avg*v*IF(AND($B8&gt;=0,$B8&lt;=DATA!$P$28),(1+($B8/DATA!$P$28)*(3*n-1)),IF(AND($B8&gt;=DATA!$P$28,$B8&lt;=DATA!$Q$28),n*3,IF(AND($B8&gt;=DATA!$Q$28,$B8&lt;=DATA!$R$28),n*3*(DATA!$Q$28/$B8),IF(AND($B8&gt;=DATA!$R$28,$B8&lt;=4),3*n*(DATA!$Q$28*DATA!$R$28/$B8^2)))))</f>
        <v>1.1919149999999998</v>
      </c>
      <c r="R8" s="52">
        <f>MAX(0.2*g*avg*v,g*avg*v*IF(AND($B8&gt;=0,$B8&lt;=DATA!$P$28),((2/3)+($B8/DATA!$P$28)*((3/q_v)-(2/3))),IF(AND($B8&gt;=DATA!$P$28,$B8&lt;=DATA!$Q$28),3/q_v,IF(AND($B8&gt;=DATA!$Q$28,$B8&lt;=DATA!$R$28),(3/q_v)*(DATA!$Q$28/$B8),IF(AND($B8&gt;=DATA!$R$28,$B8&lt;=4),(3/q_v)*(DATA!$Q$28*DATA!$R$28/($B8^2)))))))</f>
        <v>0.79460999999999982</v>
      </c>
    </row>
    <row r="9" spans="1:18" x14ac:dyDescent="0.25">
      <c r="A9" s="19"/>
      <c r="B9" s="16">
        <f t="shared" si="8"/>
        <v>0.25</v>
      </c>
      <c r="C9" s="50">
        <f t="shared" si="0"/>
        <v>2.5</v>
      </c>
      <c r="D9" s="51">
        <f t="shared" si="1"/>
        <v>0.7142857142857143</v>
      </c>
      <c r="E9" s="51">
        <f t="shared" si="2"/>
        <v>1.25</v>
      </c>
      <c r="F9" s="52">
        <f t="shared" si="3"/>
        <v>0.35714285714285715</v>
      </c>
      <c r="G9" s="50">
        <f t="shared" si="4"/>
        <v>5.8860000000000001</v>
      </c>
      <c r="H9" s="51">
        <f t="shared" si="5"/>
        <v>1.6817142857142857</v>
      </c>
      <c r="I9" s="51">
        <f t="shared" si="6"/>
        <v>2.9430000000000001</v>
      </c>
      <c r="J9" s="52">
        <f t="shared" si="7"/>
        <v>0.84085714285714286</v>
      </c>
      <c r="K9" s="50">
        <f>IF(AND($B9&gt;=0,$B9&lt;=DATA!$P$28),(1+($B9/DATA!$P$28)*(3*n-1)),IF(AND($B9&gt;=DATA!$P$28,$B9&lt;=DATA!$Q$28),n*3,IF(AND($B9&gt;=DATA!$Q$28,$B9&lt;=DATA!$R$28),n*3*(DATA!$Q$28/$B9),IF(AND($B9&gt;=DATA!$R$28,$B9&lt;=4),3*n*(DATA!$Q$28*DATA!$R$28/$B9^2)))))</f>
        <v>1.7999999999999998</v>
      </c>
      <c r="L9" s="51">
        <f>MAX(0.2,IF(AND($B9&gt;=0,$B9&lt;=DATA!$P$28),((2/3)+($B9/DATA!$P$28)*((3/q_v)-(2/3))),IF(AND($B9&gt;=DATA!$P$28,$B9&lt;=DATA!$Q$28),3/q_v,IF(AND($B9&gt;=DATA!$Q$28,$B9&lt;=DATA!$R$28),(3/q_v)*(DATA!$Q$28/$B9),IF(AND($B9&gt;=DATA!$R$28,$B9&lt;=4),(3/q_v)*(DATA!$Q$28*DATA!$R$28/($B9^2)))))))</f>
        <v>1.2</v>
      </c>
      <c r="M9" s="51">
        <f>v*IF(AND($B9&gt;=0,$B9&lt;=DATA!$P$28),(1+($B9/DATA!$P$28)*(3*n-1)),IF(AND($B9&gt;=DATA!$P$28,$B9&lt;=DATA!$Q$28),n*3,IF(AND($B9&gt;=DATA!$Q$28,$B9&lt;=DATA!$R$28),n*3*(DATA!$Q$28/$B9),IF(AND($B9&gt;=DATA!$R$28,$B9&lt;=4),3*n*(DATA!$Q$28*DATA!$R$28/$B9^2)))))</f>
        <v>0.89999999999999991</v>
      </c>
      <c r="N9" s="52">
        <f>MAX(0.2,v*IF(AND($B9&gt;=0,$B9&lt;=DATA!$P$28),((2/3)+($B9/DATA!$P$28)*((3/q_v)-(2/3))),IF(AND($B9&gt;=DATA!$P$28,$B9&lt;=DATA!$Q$28),3/q_v,IF(AND($B9&gt;=DATA!$Q$28,$B9&lt;=DATA!$R$28),(3/q_v)*(DATA!$Q$28/$B9),IF(AND($B9&gt;=DATA!$R$28,$B9&lt;=4),(3/q_v)*(DATA!$Q$28*DATA!$R$28/($B9^2)))))))</f>
        <v>0.6</v>
      </c>
      <c r="O9" s="50">
        <f>g*avg*IF(AND($B9&gt;=0,$B9&lt;=DATA!$P$28),(1+($B9/DATA!$P$28)*(3*n-1)),IF(AND($B9&gt;=DATA!$P$28,$B9&lt;=DATA!$Q$28),n*3,IF(AND($B9&gt;=DATA!$Q$28,$B9&lt;=DATA!$R$28),n*3*(DATA!$Q$28/$B9),IF(AND($B9&gt;=DATA!$R$28,$B9&lt;=4),3*n*(DATA!$Q$28*DATA!$R$28/$B9^2)))))</f>
        <v>1.9070639999999999</v>
      </c>
      <c r="P9" s="51">
        <f>MAX(0.2*g*avg,g*avg*IF(AND($B9&gt;=0,$B9&lt;=DATA!$P$28),((2/3)+($B9/DATA!$P$28)*((3/q_v)-(2/3))),IF(AND($B9&gt;=DATA!$P$28,$B9&lt;=DATA!$Q$28),3/q_v,IF(AND($B9&gt;=DATA!$Q$28,$B9&lt;=DATA!$R$28),(3/q_v)*(DATA!$Q$28/$B9),IF(AND($B9&gt;=DATA!$R$28,$B9&lt;=4),(3/q_v)*(DATA!$Q$28*DATA!$R$28/($B9^2)))))))</f>
        <v>1.2713759999999998</v>
      </c>
      <c r="Q9" s="51">
        <f>g*avg*v*IF(AND($B9&gt;=0,$B9&lt;=DATA!$P$28),(1+($B9/DATA!$P$28)*(3*n-1)),IF(AND($B9&gt;=DATA!$P$28,$B9&lt;=DATA!$Q$28),n*3,IF(AND($B9&gt;=DATA!$Q$28,$B9&lt;=DATA!$R$28),n*3*(DATA!$Q$28/$B9),IF(AND($B9&gt;=DATA!$R$28,$B9&lt;=4),3*n*(DATA!$Q$28*DATA!$R$28/$B9^2)))))</f>
        <v>0.95353199999999994</v>
      </c>
      <c r="R9" s="52">
        <f>MAX(0.2*g*avg*v,g*avg*v*IF(AND($B9&gt;=0,$B9&lt;=DATA!$P$28),((2/3)+($B9/DATA!$P$28)*((3/q_v)-(2/3))),IF(AND($B9&gt;=DATA!$P$28,$B9&lt;=DATA!$Q$28),3/q_v,IF(AND($B9&gt;=DATA!$Q$28,$B9&lt;=DATA!$R$28),(3/q_v)*(DATA!$Q$28/$B9),IF(AND($B9&gt;=DATA!$R$28,$B9&lt;=4),(3/q_v)*(DATA!$Q$28*DATA!$R$28/($B9^2)))))))</f>
        <v>0.63568799999999992</v>
      </c>
    </row>
    <row r="10" spans="1:18" x14ac:dyDescent="0.25">
      <c r="A10" s="19"/>
      <c r="B10" s="16">
        <f t="shared" si="8"/>
        <v>0.3</v>
      </c>
      <c r="C10" s="50">
        <f t="shared" si="0"/>
        <v>2.0833333333333335</v>
      </c>
      <c r="D10" s="51">
        <f t="shared" si="1"/>
        <v>0.59523809523809523</v>
      </c>
      <c r="E10" s="51">
        <f t="shared" si="2"/>
        <v>1.0416666666666667</v>
      </c>
      <c r="F10" s="52">
        <f t="shared" si="3"/>
        <v>0.29761904761904762</v>
      </c>
      <c r="G10" s="50">
        <f t="shared" si="4"/>
        <v>4.9050000000000002</v>
      </c>
      <c r="H10" s="51">
        <f t="shared" si="5"/>
        <v>1.4014285714285715</v>
      </c>
      <c r="I10" s="51">
        <f t="shared" si="6"/>
        <v>2.4525000000000001</v>
      </c>
      <c r="J10" s="52">
        <f t="shared" si="7"/>
        <v>0.70071428571428573</v>
      </c>
      <c r="K10" s="50">
        <f>IF(AND($B10&gt;=0,$B10&lt;=DATA!$P$28),(1+($B10/DATA!$P$28)*(3*n-1)),IF(AND($B10&gt;=DATA!$P$28,$B10&lt;=DATA!$Q$28),n*3,IF(AND($B10&gt;=DATA!$Q$28,$B10&lt;=DATA!$R$28),n*3*(DATA!$Q$28/$B10),IF(AND($B10&gt;=DATA!$R$28,$B10&lt;=4),3*n*(DATA!$Q$28*DATA!$R$28/$B10^2)))))</f>
        <v>1.5</v>
      </c>
      <c r="L10" s="51">
        <f>MAX(0.2,IF(AND($B10&gt;=0,$B10&lt;=DATA!$P$28),((2/3)+($B10/DATA!$P$28)*((3/q_v)-(2/3))),IF(AND($B10&gt;=DATA!$P$28,$B10&lt;=DATA!$Q$28),3/q_v,IF(AND($B10&gt;=DATA!$Q$28,$B10&lt;=DATA!$R$28),(3/q_v)*(DATA!$Q$28/$B10),IF(AND($B10&gt;=DATA!$R$28,$B10&lt;=4),(3/q_v)*(DATA!$Q$28*DATA!$R$28/($B10^2)))))))</f>
        <v>1</v>
      </c>
      <c r="M10" s="51">
        <f>v*IF(AND($B10&gt;=0,$B10&lt;=DATA!$P$28),(1+($B10/DATA!$P$28)*(3*n-1)),IF(AND($B10&gt;=DATA!$P$28,$B10&lt;=DATA!$Q$28),n*3,IF(AND($B10&gt;=DATA!$Q$28,$B10&lt;=DATA!$R$28),n*3*(DATA!$Q$28/$B10),IF(AND($B10&gt;=DATA!$R$28,$B10&lt;=4),3*n*(DATA!$Q$28*DATA!$R$28/$B10^2)))))</f>
        <v>0.75</v>
      </c>
      <c r="N10" s="52">
        <f>MAX(0.2,v*IF(AND($B10&gt;=0,$B10&lt;=DATA!$P$28),((2/3)+($B10/DATA!$P$28)*((3/q_v)-(2/3))),IF(AND($B10&gt;=DATA!$P$28,$B10&lt;=DATA!$Q$28),3/q_v,IF(AND($B10&gt;=DATA!$Q$28,$B10&lt;=DATA!$R$28),(3/q_v)*(DATA!$Q$28/$B10),IF(AND($B10&gt;=DATA!$R$28,$B10&lt;=4),(3/q_v)*(DATA!$Q$28*DATA!$R$28/($B10^2)))))))</f>
        <v>0.5</v>
      </c>
      <c r="O10" s="50">
        <f>g*avg*IF(AND($B10&gt;=0,$B10&lt;=DATA!$P$28),(1+($B10/DATA!$P$28)*(3*n-1)),IF(AND($B10&gt;=DATA!$P$28,$B10&lt;=DATA!$Q$28),n*3,IF(AND($B10&gt;=DATA!$Q$28,$B10&lt;=DATA!$R$28),n*3*(DATA!$Q$28/$B10),IF(AND($B10&gt;=DATA!$R$28,$B10&lt;=4),3*n*(DATA!$Q$28*DATA!$R$28/$B10^2)))))</f>
        <v>1.5892200000000001</v>
      </c>
      <c r="P10" s="51">
        <f>MAX(0.2*g*avg,g*avg*IF(AND($B10&gt;=0,$B10&lt;=DATA!$P$28),((2/3)+($B10/DATA!$P$28)*((3/q_v)-(2/3))),IF(AND($B10&gt;=DATA!$P$28,$B10&lt;=DATA!$Q$28),3/q_v,IF(AND($B10&gt;=DATA!$Q$28,$B10&lt;=DATA!$R$28),(3/q_v)*(DATA!$Q$28/$B10),IF(AND($B10&gt;=DATA!$R$28,$B10&lt;=4),(3/q_v)*(DATA!$Q$28*DATA!$R$28/($B10^2)))))))</f>
        <v>1.05948</v>
      </c>
      <c r="Q10" s="51">
        <f>g*avg*v*IF(AND($B10&gt;=0,$B10&lt;=DATA!$P$28),(1+($B10/DATA!$P$28)*(3*n-1)),IF(AND($B10&gt;=DATA!$P$28,$B10&lt;=DATA!$Q$28),n*3,IF(AND($B10&gt;=DATA!$Q$28,$B10&lt;=DATA!$R$28),n*3*(DATA!$Q$28/$B10),IF(AND($B10&gt;=DATA!$R$28,$B10&lt;=4),3*n*(DATA!$Q$28*DATA!$R$28/$B10^2)))))</f>
        <v>0.79461000000000004</v>
      </c>
      <c r="R10" s="52">
        <f>MAX(0.2*g*avg*v,g*avg*v*IF(AND($B10&gt;=0,$B10&lt;=DATA!$P$28),((2/3)+($B10/DATA!$P$28)*((3/q_v)-(2/3))),IF(AND($B10&gt;=DATA!$P$28,$B10&lt;=DATA!$Q$28),3/q_v,IF(AND($B10&gt;=DATA!$Q$28,$B10&lt;=DATA!$R$28),(3/q_v)*(DATA!$Q$28/$B10),IF(AND($B10&gt;=DATA!$R$28,$B10&lt;=4),(3/q_v)*(DATA!$Q$28*DATA!$R$28/($B10^2)))))))</f>
        <v>0.52973999999999999</v>
      </c>
    </row>
    <row r="11" spans="1:18" x14ac:dyDescent="0.25">
      <c r="A11" s="19"/>
      <c r="B11" s="16">
        <f t="shared" si="8"/>
        <v>0.35</v>
      </c>
      <c r="C11" s="50">
        <f t="shared" si="0"/>
        <v>1.7857142857142858</v>
      </c>
      <c r="D11" s="51">
        <f t="shared" si="1"/>
        <v>0.51020408163265307</v>
      </c>
      <c r="E11" s="51">
        <f t="shared" si="2"/>
        <v>0.8928571428571429</v>
      </c>
      <c r="F11" s="52">
        <f t="shared" si="3"/>
        <v>0.25510204081632654</v>
      </c>
      <c r="G11" s="50">
        <f t="shared" si="4"/>
        <v>4.2042857142857146</v>
      </c>
      <c r="H11" s="51">
        <f t="shared" si="5"/>
        <v>1.2012244897959183</v>
      </c>
      <c r="I11" s="51">
        <f t="shared" si="6"/>
        <v>2.1021428571428573</v>
      </c>
      <c r="J11" s="52">
        <f t="shared" si="7"/>
        <v>0.60061224489795917</v>
      </c>
      <c r="K11" s="50">
        <f>IF(AND($B11&gt;=0,$B11&lt;=DATA!$P$28),(1+($B11/DATA!$P$28)*(3*n-1)),IF(AND($B11&gt;=DATA!$P$28,$B11&lt;=DATA!$Q$28),n*3,IF(AND($B11&gt;=DATA!$Q$28,$B11&lt;=DATA!$R$28),n*3*(DATA!$Q$28/$B11),IF(AND($B11&gt;=DATA!$R$28,$B11&lt;=4),3*n*(DATA!$Q$28*DATA!$R$28/$B11^2)))))</f>
        <v>1.2857142857142858</v>
      </c>
      <c r="L11" s="51">
        <f>MAX(0.2,IF(AND($B11&gt;=0,$B11&lt;=DATA!$P$28),((2/3)+($B11/DATA!$P$28)*((3/q_v)-(2/3))),IF(AND($B11&gt;=DATA!$P$28,$B11&lt;=DATA!$Q$28),3/q_v,IF(AND($B11&gt;=DATA!$Q$28,$B11&lt;=DATA!$R$28),(3/q_v)*(DATA!$Q$28/$B11),IF(AND($B11&gt;=DATA!$R$28,$B11&lt;=4),(3/q_v)*(DATA!$Q$28*DATA!$R$28/($B11^2)))))))</f>
        <v>0.85714285714285721</v>
      </c>
      <c r="M11" s="51">
        <f>v*IF(AND($B11&gt;=0,$B11&lt;=DATA!$P$28),(1+($B11/DATA!$P$28)*(3*n-1)),IF(AND($B11&gt;=DATA!$P$28,$B11&lt;=DATA!$Q$28),n*3,IF(AND($B11&gt;=DATA!$Q$28,$B11&lt;=DATA!$R$28),n*3*(DATA!$Q$28/$B11),IF(AND($B11&gt;=DATA!$R$28,$B11&lt;=4),3*n*(DATA!$Q$28*DATA!$R$28/$B11^2)))))</f>
        <v>0.6428571428571429</v>
      </c>
      <c r="N11" s="52">
        <f>MAX(0.2,v*IF(AND($B11&gt;=0,$B11&lt;=DATA!$P$28),((2/3)+($B11/DATA!$P$28)*((3/q_v)-(2/3))),IF(AND($B11&gt;=DATA!$P$28,$B11&lt;=DATA!$Q$28),3/q_v,IF(AND($B11&gt;=DATA!$Q$28,$B11&lt;=DATA!$R$28),(3/q_v)*(DATA!$Q$28/$B11),IF(AND($B11&gt;=DATA!$R$28,$B11&lt;=4),(3/q_v)*(DATA!$Q$28*DATA!$R$28/($B11^2)))))))</f>
        <v>0.4285714285714286</v>
      </c>
      <c r="O11" s="50">
        <f>g*avg*IF(AND($B11&gt;=0,$B11&lt;=DATA!$P$28),(1+($B11/DATA!$P$28)*(3*n-1)),IF(AND($B11&gt;=DATA!$P$28,$B11&lt;=DATA!$Q$28),n*3,IF(AND($B11&gt;=DATA!$Q$28,$B11&lt;=DATA!$R$28),n*3*(DATA!$Q$28/$B11),IF(AND($B11&gt;=DATA!$R$28,$B11&lt;=4),3*n*(DATA!$Q$28*DATA!$R$28/$B11^2)))))</f>
        <v>1.3621885714285715</v>
      </c>
      <c r="P11" s="51">
        <f>MAX(0.2*g*avg,g*avg*IF(AND($B11&gt;=0,$B11&lt;=DATA!$P$28),((2/3)+($B11/DATA!$P$28)*((3/q_v)-(2/3))),IF(AND($B11&gt;=DATA!$P$28,$B11&lt;=DATA!$Q$28),3/q_v,IF(AND($B11&gt;=DATA!$Q$28,$B11&lt;=DATA!$R$28),(3/q_v)*(DATA!$Q$28/$B11),IF(AND($B11&gt;=DATA!$R$28,$B11&lt;=4),(3/q_v)*(DATA!$Q$28*DATA!$R$28/($B11^2)))))))</f>
        <v>0.90812571428571431</v>
      </c>
      <c r="Q11" s="51">
        <f>g*avg*v*IF(AND($B11&gt;=0,$B11&lt;=DATA!$P$28),(1+($B11/DATA!$P$28)*(3*n-1)),IF(AND($B11&gt;=DATA!$P$28,$B11&lt;=DATA!$Q$28),n*3,IF(AND($B11&gt;=DATA!$Q$28,$B11&lt;=DATA!$R$28),n*3*(DATA!$Q$28/$B11),IF(AND($B11&gt;=DATA!$R$28,$B11&lt;=4),3*n*(DATA!$Q$28*DATA!$R$28/$B11^2)))))</f>
        <v>0.68109428571428576</v>
      </c>
      <c r="R11" s="52">
        <f>MAX(0.2*g*avg*v,g*avg*v*IF(AND($B11&gt;=0,$B11&lt;=DATA!$P$28),((2/3)+($B11/DATA!$P$28)*((3/q_v)-(2/3))),IF(AND($B11&gt;=DATA!$P$28,$B11&lt;=DATA!$Q$28),3/q_v,IF(AND($B11&gt;=DATA!$Q$28,$B11&lt;=DATA!$R$28),(3/q_v)*(DATA!$Q$28/$B11),IF(AND($B11&gt;=DATA!$R$28,$B11&lt;=4),(3/q_v)*(DATA!$Q$28*DATA!$R$28/($B11^2)))))))</f>
        <v>0.45406285714285716</v>
      </c>
    </row>
    <row r="12" spans="1:18" x14ac:dyDescent="0.25">
      <c r="A12" s="19"/>
      <c r="B12" s="16">
        <f t="shared" si="8"/>
        <v>0.39999999999999997</v>
      </c>
      <c r="C12" s="50">
        <f t="shared" si="0"/>
        <v>1.5625</v>
      </c>
      <c r="D12" s="51">
        <f t="shared" si="1"/>
        <v>0.44642857142857145</v>
      </c>
      <c r="E12" s="51">
        <f t="shared" si="2"/>
        <v>0.78125</v>
      </c>
      <c r="F12" s="52">
        <f t="shared" si="3"/>
        <v>0.22321428571428573</v>
      </c>
      <c r="G12" s="50">
        <f t="shared" si="4"/>
        <v>3.67875</v>
      </c>
      <c r="H12" s="51">
        <f t="shared" si="5"/>
        <v>1.0510714285714287</v>
      </c>
      <c r="I12" s="51">
        <f t="shared" si="6"/>
        <v>1.839375</v>
      </c>
      <c r="J12" s="52">
        <f t="shared" si="7"/>
        <v>0.52553571428571433</v>
      </c>
      <c r="K12" s="50">
        <f>IF(AND($B12&gt;=0,$B12&lt;=DATA!$P$28),(1+($B12/DATA!$P$28)*(3*n-1)),IF(AND($B12&gt;=DATA!$P$28,$B12&lt;=DATA!$Q$28),n*3,IF(AND($B12&gt;=DATA!$Q$28,$B12&lt;=DATA!$R$28),n*3*(DATA!$Q$28/$B12),IF(AND($B12&gt;=DATA!$R$28,$B12&lt;=4),3*n*(DATA!$Q$28*DATA!$R$28/$B12^2)))))</f>
        <v>1.125</v>
      </c>
      <c r="L12" s="51">
        <f>MAX(0.2,IF(AND($B12&gt;=0,$B12&lt;=DATA!$P$28),((2/3)+($B12/DATA!$P$28)*((3/q_v)-(2/3))),IF(AND($B12&gt;=DATA!$P$28,$B12&lt;=DATA!$Q$28),3/q_v,IF(AND($B12&gt;=DATA!$Q$28,$B12&lt;=DATA!$R$28),(3/q_v)*(DATA!$Q$28/$B12),IF(AND($B12&gt;=DATA!$R$28,$B12&lt;=4),(3/q_v)*(DATA!$Q$28*DATA!$R$28/($B12^2)))))))</f>
        <v>0.75</v>
      </c>
      <c r="M12" s="51">
        <f>v*IF(AND($B12&gt;=0,$B12&lt;=DATA!$P$28),(1+($B12/DATA!$P$28)*(3*n-1)),IF(AND($B12&gt;=DATA!$P$28,$B12&lt;=DATA!$Q$28),n*3,IF(AND($B12&gt;=DATA!$Q$28,$B12&lt;=DATA!$R$28),n*3*(DATA!$Q$28/$B12),IF(AND($B12&gt;=DATA!$R$28,$B12&lt;=4),3*n*(DATA!$Q$28*DATA!$R$28/$B12^2)))))</f>
        <v>0.5625</v>
      </c>
      <c r="N12" s="52">
        <f>MAX(0.2,v*IF(AND($B12&gt;=0,$B12&lt;=DATA!$P$28),((2/3)+($B12/DATA!$P$28)*((3/q_v)-(2/3))),IF(AND($B12&gt;=DATA!$P$28,$B12&lt;=DATA!$Q$28),3/q_v,IF(AND($B12&gt;=DATA!$Q$28,$B12&lt;=DATA!$R$28),(3/q_v)*(DATA!$Q$28/$B12),IF(AND($B12&gt;=DATA!$R$28,$B12&lt;=4),(3/q_v)*(DATA!$Q$28*DATA!$R$28/($B12^2)))))))</f>
        <v>0.375</v>
      </c>
      <c r="O12" s="50">
        <f>g*avg*IF(AND($B12&gt;=0,$B12&lt;=DATA!$P$28),(1+($B12/DATA!$P$28)*(3*n-1)),IF(AND($B12&gt;=DATA!$P$28,$B12&lt;=DATA!$Q$28),n*3,IF(AND($B12&gt;=DATA!$Q$28,$B12&lt;=DATA!$R$28),n*3*(DATA!$Q$28/$B12),IF(AND($B12&gt;=DATA!$R$28,$B12&lt;=4),3*n*(DATA!$Q$28*DATA!$R$28/$B12^2)))))</f>
        <v>1.1919150000000001</v>
      </c>
      <c r="P12" s="51">
        <f>MAX(0.2*g*avg,g*avg*IF(AND($B12&gt;=0,$B12&lt;=DATA!$P$28),((2/3)+($B12/DATA!$P$28)*((3/q_v)-(2/3))),IF(AND($B12&gt;=DATA!$P$28,$B12&lt;=DATA!$Q$28),3/q_v,IF(AND($B12&gt;=DATA!$Q$28,$B12&lt;=DATA!$R$28),(3/q_v)*(DATA!$Q$28/$B12),IF(AND($B12&gt;=DATA!$R$28,$B12&lt;=4),(3/q_v)*(DATA!$Q$28*DATA!$R$28/($B12^2)))))))</f>
        <v>0.79461000000000004</v>
      </c>
      <c r="Q12" s="51">
        <f>g*avg*v*IF(AND($B12&gt;=0,$B12&lt;=DATA!$P$28),(1+($B12/DATA!$P$28)*(3*n-1)),IF(AND($B12&gt;=DATA!$P$28,$B12&lt;=DATA!$Q$28),n*3,IF(AND($B12&gt;=DATA!$Q$28,$B12&lt;=DATA!$R$28),n*3*(DATA!$Q$28/$B12),IF(AND($B12&gt;=DATA!$R$28,$B12&lt;=4),3*n*(DATA!$Q$28*DATA!$R$28/$B12^2)))))</f>
        <v>0.59595750000000003</v>
      </c>
      <c r="R12" s="52">
        <f>MAX(0.2*g*avg*v,g*avg*v*IF(AND($B12&gt;=0,$B12&lt;=DATA!$P$28),((2/3)+($B12/DATA!$P$28)*((3/q_v)-(2/3))),IF(AND($B12&gt;=DATA!$P$28,$B12&lt;=DATA!$Q$28),3/q_v,IF(AND($B12&gt;=DATA!$Q$28,$B12&lt;=DATA!$R$28),(3/q_v)*(DATA!$Q$28/$B12),IF(AND($B12&gt;=DATA!$R$28,$B12&lt;=4),(3/q_v)*(DATA!$Q$28*DATA!$R$28/($B12^2)))))))</f>
        <v>0.39730500000000002</v>
      </c>
    </row>
    <row r="13" spans="1:18" x14ac:dyDescent="0.25">
      <c r="A13" s="29"/>
      <c r="B13" s="16">
        <f t="shared" si="8"/>
        <v>0.44999999999999996</v>
      </c>
      <c r="C13" s="50">
        <f t="shared" si="0"/>
        <v>1.3888888888888888</v>
      </c>
      <c r="D13" s="51">
        <f t="shared" si="1"/>
        <v>0.39682539682539686</v>
      </c>
      <c r="E13" s="51">
        <f t="shared" si="2"/>
        <v>0.69444444444444442</v>
      </c>
      <c r="F13" s="52">
        <f t="shared" si="3"/>
        <v>0.19841269841269843</v>
      </c>
      <c r="G13" s="50">
        <f t="shared" si="4"/>
        <v>3.27</v>
      </c>
      <c r="H13" s="51">
        <f t="shared" si="5"/>
        <v>0.93428571428571439</v>
      </c>
      <c r="I13" s="51">
        <f t="shared" si="6"/>
        <v>1.635</v>
      </c>
      <c r="J13" s="52">
        <f t="shared" si="7"/>
        <v>0.46714285714285719</v>
      </c>
      <c r="K13" s="50">
        <f>IF(AND($B13&gt;=0,$B13&lt;=DATA!$P$28),(1+($B13/DATA!$P$28)*(3*n-1)),IF(AND($B13&gt;=DATA!$P$28,$B13&lt;=DATA!$Q$28),n*3,IF(AND($B13&gt;=DATA!$Q$28,$B13&lt;=DATA!$R$28),n*3*(DATA!$Q$28/$B13),IF(AND($B13&gt;=DATA!$R$28,$B13&lt;=4),3*n*(DATA!$Q$28*DATA!$R$28/$B13^2)))))</f>
        <v>1</v>
      </c>
      <c r="L13" s="51">
        <f>MAX(0.2,IF(AND($B13&gt;=0,$B13&lt;=DATA!$P$28),((2/3)+($B13/DATA!$P$28)*((3/q_v)-(2/3))),IF(AND($B13&gt;=DATA!$P$28,$B13&lt;=DATA!$Q$28),3/q_v,IF(AND($B13&gt;=DATA!$Q$28,$B13&lt;=DATA!$R$28),(3/q_v)*(DATA!$Q$28/$B13),IF(AND($B13&gt;=DATA!$R$28,$B13&lt;=4),(3/q_v)*(DATA!$Q$28*DATA!$R$28/($B13^2)))))))</f>
        <v>0.66666666666666674</v>
      </c>
      <c r="M13" s="51">
        <f>v*IF(AND($B13&gt;=0,$B13&lt;=DATA!$P$28),(1+($B13/DATA!$P$28)*(3*n-1)),IF(AND($B13&gt;=DATA!$P$28,$B13&lt;=DATA!$Q$28),n*3,IF(AND($B13&gt;=DATA!$Q$28,$B13&lt;=DATA!$R$28),n*3*(DATA!$Q$28/$B13),IF(AND($B13&gt;=DATA!$R$28,$B13&lt;=4),3*n*(DATA!$Q$28*DATA!$R$28/$B13^2)))))</f>
        <v>0.5</v>
      </c>
      <c r="N13" s="52">
        <f>MAX(0.2,v*IF(AND($B13&gt;=0,$B13&lt;=DATA!$P$28),((2/3)+($B13/DATA!$P$28)*((3/q_v)-(2/3))),IF(AND($B13&gt;=DATA!$P$28,$B13&lt;=DATA!$Q$28),3/q_v,IF(AND($B13&gt;=DATA!$Q$28,$B13&lt;=DATA!$R$28),(3/q_v)*(DATA!$Q$28/$B13),IF(AND($B13&gt;=DATA!$R$28,$B13&lt;=4),(3/q_v)*(DATA!$Q$28*DATA!$R$28/($B13^2)))))))</f>
        <v>0.33333333333333337</v>
      </c>
      <c r="O13" s="50">
        <f>g*avg*IF(AND($B13&gt;=0,$B13&lt;=DATA!$P$28),(1+($B13/DATA!$P$28)*(3*n-1)),IF(AND($B13&gt;=DATA!$P$28,$B13&lt;=DATA!$Q$28),n*3,IF(AND($B13&gt;=DATA!$Q$28,$B13&lt;=DATA!$R$28),n*3*(DATA!$Q$28/$B13),IF(AND($B13&gt;=DATA!$R$28,$B13&lt;=4),3*n*(DATA!$Q$28*DATA!$R$28/$B13^2)))))</f>
        <v>1.05948</v>
      </c>
      <c r="P13" s="51">
        <f>MAX(0.2*g*avg,g*avg*IF(AND($B13&gt;=0,$B13&lt;=DATA!$P$28),((2/3)+($B13/DATA!$P$28)*((3/q_v)-(2/3))),IF(AND($B13&gt;=DATA!$P$28,$B13&lt;=DATA!$Q$28),3/q_v,IF(AND($B13&gt;=DATA!$Q$28,$B13&lt;=DATA!$R$28),(3/q_v)*(DATA!$Q$28/$B13),IF(AND($B13&gt;=DATA!$R$28,$B13&lt;=4),(3/q_v)*(DATA!$Q$28*DATA!$R$28/($B13^2)))))))</f>
        <v>0.70632000000000006</v>
      </c>
      <c r="Q13" s="51">
        <f>g*avg*v*IF(AND($B13&gt;=0,$B13&lt;=DATA!$P$28),(1+($B13/DATA!$P$28)*(3*n-1)),IF(AND($B13&gt;=DATA!$P$28,$B13&lt;=DATA!$Q$28),n*3,IF(AND($B13&gt;=DATA!$Q$28,$B13&lt;=DATA!$R$28),n*3*(DATA!$Q$28/$B13),IF(AND($B13&gt;=DATA!$R$28,$B13&lt;=4),3*n*(DATA!$Q$28*DATA!$R$28/$B13^2)))))</f>
        <v>0.52973999999999999</v>
      </c>
      <c r="R13" s="52">
        <f>MAX(0.2*g*avg*v,g*avg*v*IF(AND($B13&gt;=0,$B13&lt;=DATA!$P$28),((2/3)+($B13/DATA!$P$28)*((3/q_v)-(2/3))),IF(AND($B13&gt;=DATA!$P$28,$B13&lt;=DATA!$Q$28),3/q_v,IF(AND($B13&gt;=DATA!$Q$28,$B13&lt;=DATA!$R$28),(3/q_v)*(DATA!$Q$28/$B13),IF(AND($B13&gt;=DATA!$R$28,$B13&lt;=4),(3/q_v)*(DATA!$Q$28*DATA!$R$28/($B13^2)))))))</f>
        <v>0.35316000000000003</v>
      </c>
    </row>
    <row r="14" spans="1:18" x14ac:dyDescent="0.25">
      <c r="A14" s="19"/>
      <c r="B14" s="16">
        <f t="shared" si="8"/>
        <v>0.49999999999999994</v>
      </c>
      <c r="C14" s="50">
        <f t="shared" si="0"/>
        <v>1.25</v>
      </c>
      <c r="D14" s="51">
        <f t="shared" si="1"/>
        <v>0.35714285714285715</v>
      </c>
      <c r="E14" s="51">
        <f t="shared" si="2"/>
        <v>0.625</v>
      </c>
      <c r="F14" s="52">
        <f t="shared" si="3"/>
        <v>0.17857142857142858</v>
      </c>
      <c r="G14" s="50">
        <f t="shared" si="4"/>
        <v>2.9430000000000001</v>
      </c>
      <c r="H14" s="51">
        <f t="shared" si="5"/>
        <v>0.84085714285714286</v>
      </c>
      <c r="I14" s="51">
        <f t="shared" si="6"/>
        <v>1.4715</v>
      </c>
      <c r="J14" s="52">
        <f t="shared" si="7"/>
        <v>0.42042857142857143</v>
      </c>
      <c r="K14" s="50">
        <f>IF(AND($B14&gt;=0,$B14&lt;=DATA!$P$28),(1+($B14/DATA!$P$28)*(3*n-1)),IF(AND($B14&gt;=DATA!$P$28,$B14&lt;=DATA!$Q$28),n*3,IF(AND($B14&gt;=DATA!$Q$28,$B14&lt;=DATA!$R$28),n*3*(DATA!$Q$28/$B14),IF(AND($B14&gt;=DATA!$R$28,$B14&lt;=4),3*n*(DATA!$Q$28*DATA!$R$28/$B14^2)))))</f>
        <v>0.90000000000000013</v>
      </c>
      <c r="L14" s="51">
        <f>MAX(0.2,IF(AND($B14&gt;=0,$B14&lt;=DATA!$P$28),((2/3)+($B14/DATA!$P$28)*((3/q_v)-(2/3))),IF(AND($B14&gt;=DATA!$P$28,$B14&lt;=DATA!$Q$28),3/q_v,IF(AND($B14&gt;=DATA!$Q$28,$B14&lt;=DATA!$R$28),(3/q_v)*(DATA!$Q$28/$B14),IF(AND($B14&gt;=DATA!$R$28,$B14&lt;=4),(3/q_v)*(DATA!$Q$28*DATA!$R$28/($B14^2)))))))</f>
        <v>0.60000000000000009</v>
      </c>
      <c r="M14" s="51">
        <f>v*IF(AND($B14&gt;=0,$B14&lt;=DATA!$P$28),(1+($B14/DATA!$P$28)*(3*n-1)),IF(AND($B14&gt;=DATA!$P$28,$B14&lt;=DATA!$Q$28),n*3,IF(AND($B14&gt;=DATA!$Q$28,$B14&lt;=DATA!$R$28),n*3*(DATA!$Q$28/$B14),IF(AND($B14&gt;=DATA!$R$28,$B14&lt;=4),3*n*(DATA!$Q$28*DATA!$R$28/$B14^2)))))</f>
        <v>0.45000000000000007</v>
      </c>
      <c r="N14" s="52">
        <f>MAX(0.2,v*IF(AND($B14&gt;=0,$B14&lt;=DATA!$P$28),((2/3)+($B14/DATA!$P$28)*((3/q_v)-(2/3))),IF(AND($B14&gt;=DATA!$P$28,$B14&lt;=DATA!$Q$28),3/q_v,IF(AND($B14&gt;=DATA!$Q$28,$B14&lt;=DATA!$R$28),(3/q_v)*(DATA!$Q$28/$B14),IF(AND($B14&gt;=DATA!$R$28,$B14&lt;=4),(3/q_v)*(DATA!$Q$28*DATA!$R$28/($B14^2)))))))</f>
        <v>0.30000000000000004</v>
      </c>
      <c r="O14" s="50">
        <f>g*avg*IF(AND($B14&gt;=0,$B14&lt;=DATA!$P$28),(1+($B14/DATA!$P$28)*(3*n-1)),IF(AND($B14&gt;=DATA!$P$28,$B14&lt;=DATA!$Q$28),n*3,IF(AND($B14&gt;=DATA!$Q$28,$B14&lt;=DATA!$R$28),n*3*(DATA!$Q$28/$B14),IF(AND($B14&gt;=DATA!$R$28,$B14&lt;=4),3*n*(DATA!$Q$28*DATA!$R$28/$B14^2)))))</f>
        <v>0.95353200000000016</v>
      </c>
      <c r="P14" s="51">
        <f>MAX(0.2*g*avg,g*avg*IF(AND($B14&gt;=0,$B14&lt;=DATA!$P$28),((2/3)+($B14/DATA!$P$28)*((3/q_v)-(2/3))),IF(AND($B14&gt;=DATA!$P$28,$B14&lt;=DATA!$Q$28),3/q_v,IF(AND($B14&gt;=DATA!$Q$28,$B14&lt;=DATA!$R$28),(3/q_v)*(DATA!$Q$28/$B14),IF(AND($B14&gt;=DATA!$R$28,$B14&lt;=4),(3/q_v)*(DATA!$Q$28*DATA!$R$28/($B14^2)))))))</f>
        <v>0.63568800000000003</v>
      </c>
      <c r="Q14" s="51">
        <f>g*avg*v*IF(AND($B14&gt;=0,$B14&lt;=DATA!$P$28),(1+($B14/DATA!$P$28)*(3*n-1)),IF(AND($B14&gt;=DATA!$P$28,$B14&lt;=DATA!$Q$28),n*3,IF(AND($B14&gt;=DATA!$Q$28,$B14&lt;=DATA!$R$28),n*3*(DATA!$Q$28/$B14),IF(AND($B14&gt;=DATA!$R$28,$B14&lt;=4),3*n*(DATA!$Q$28*DATA!$R$28/$B14^2)))))</f>
        <v>0.47676600000000008</v>
      </c>
      <c r="R14" s="52">
        <f>MAX(0.2*g*avg*v,g*avg*v*IF(AND($B14&gt;=0,$B14&lt;=DATA!$P$28),((2/3)+($B14/DATA!$P$28)*((3/q_v)-(2/3))),IF(AND($B14&gt;=DATA!$P$28,$B14&lt;=DATA!$Q$28),3/q_v,IF(AND($B14&gt;=DATA!$Q$28,$B14&lt;=DATA!$R$28),(3/q_v)*(DATA!$Q$28/$B14),IF(AND($B14&gt;=DATA!$R$28,$B14&lt;=4),(3/q_v)*(DATA!$Q$28*DATA!$R$28/($B14^2)))))))</f>
        <v>0.31784400000000002</v>
      </c>
    </row>
    <row r="15" spans="1:18" x14ac:dyDescent="0.25">
      <c r="A15" s="19"/>
      <c r="B15" s="16">
        <f t="shared" si="8"/>
        <v>0.54999999999999993</v>
      </c>
      <c r="C15" s="50">
        <f t="shared" si="0"/>
        <v>1.1363636363636365</v>
      </c>
      <c r="D15" s="51">
        <f t="shared" si="1"/>
        <v>0.32467532467532473</v>
      </c>
      <c r="E15" s="51">
        <f t="shared" si="2"/>
        <v>0.56818181818181823</v>
      </c>
      <c r="F15" s="52">
        <f t="shared" si="3"/>
        <v>0.16233766233766236</v>
      </c>
      <c r="G15" s="50">
        <f t="shared" si="4"/>
        <v>2.6754545454545458</v>
      </c>
      <c r="H15" s="51">
        <f t="shared" si="5"/>
        <v>0.76441558441558455</v>
      </c>
      <c r="I15" s="51">
        <f t="shared" si="6"/>
        <v>1.3377272727272729</v>
      </c>
      <c r="J15" s="52">
        <f t="shared" si="7"/>
        <v>0.38220779220779227</v>
      </c>
      <c r="K15" s="50">
        <f>IF(AND($B15&gt;=0,$B15&lt;=DATA!$P$28),(1+($B15/DATA!$P$28)*(3*n-1)),IF(AND($B15&gt;=DATA!$P$28,$B15&lt;=DATA!$Q$28),n*3,IF(AND($B15&gt;=DATA!$Q$28,$B15&lt;=DATA!$R$28),n*3*(DATA!$Q$28/$B15),IF(AND($B15&gt;=DATA!$R$28,$B15&lt;=4),3*n*(DATA!$Q$28*DATA!$R$28/$B15^2)))))</f>
        <v>0.81818181818181834</v>
      </c>
      <c r="L15" s="51">
        <f>MAX(0.2,IF(AND($B15&gt;=0,$B15&lt;=DATA!$P$28),((2/3)+($B15/DATA!$P$28)*((3/q_v)-(2/3))),IF(AND($B15&gt;=DATA!$P$28,$B15&lt;=DATA!$Q$28),3/q_v,IF(AND($B15&gt;=DATA!$Q$28,$B15&lt;=DATA!$R$28),(3/q_v)*(DATA!$Q$28/$B15),IF(AND($B15&gt;=DATA!$R$28,$B15&lt;=4),(3/q_v)*(DATA!$Q$28*DATA!$R$28/($B15^2)))))))</f>
        <v>0.54545454545454553</v>
      </c>
      <c r="M15" s="51">
        <f>v*IF(AND($B15&gt;=0,$B15&lt;=DATA!$P$28),(1+($B15/DATA!$P$28)*(3*n-1)),IF(AND($B15&gt;=DATA!$P$28,$B15&lt;=DATA!$Q$28),n*3,IF(AND($B15&gt;=DATA!$Q$28,$B15&lt;=DATA!$R$28),n*3*(DATA!$Q$28/$B15),IF(AND($B15&gt;=DATA!$R$28,$B15&lt;=4),3*n*(DATA!$Q$28*DATA!$R$28/$B15^2)))))</f>
        <v>0.40909090909090917</v>
      </c>
      <c r="N15" s="52">
        <f>MAX(0.2,v*IF(AND($B15&gt;=0,$B15&lt;=DATA!$P$28),((2/3)+($B15/DATA!$P$28)*((3/q_v)-(2/3))),IF(AND($B15&gt;=DATA!$P$28,$B15&lt;=DATA!$Q$28),3/q_v,IF(AND($B15&gt;=DATA!$Q$28,$B15&lt;=DATA!$R$28),(3/q_v)*(DATA!$Q$28/$B15),IF(AND($B15&gt;=DATA!$R$28,$B15&lt;=4),(3/q_v)*(DATA!$Q$28*DATA!$R$28/($B15^2)))))))</f>
        <v>0.27272727272727276</v>
      </c>
      <c r="O15" s="50">
        <f>g*avg*IF(AND($B15&gt;=0,$B15&lt;=DATA!$P$28),(1+($B15/DATA!$P$28)*(3*n-1)),IF(AND($B15&gt;=DATA!$P$28,$B15&lt;=DATA!$Q$28),n*3,IF(AND($B15&gt;=DATA!$Q$28,$B15&lt;=DATA!$R$28),n*3*(DATA!$Q$28/$B15),IF(AND($B15&gt;=DATA!$R$28,$B15&lt;=4),3*n*(DATA!$Q$28*DATA!$R$28/$B15^2)))))</f>
        <v>0.86684727272727291</v>
      </c>
      <c r="P15" s="51">
        <f>MAX(0.2*g*avg,g*avg*IF(AND($B15&gt;=0,$B15&lt;=DATA!$P$28),((2/3)+($B15/DATA!$P$28)*((3/q_v)-(2/3))),IF(AND($B15&gt;=DATA!$P$28,$B15&lt;=DATA!$Q$28),3/q_v,IF(AND($B15&gt;=DATA!$Q$28,$B15&lt;=DATA!$R$28),(3/q_v)*(DATA!$Q$28/$B15),IF(AND($B15&gt;=DATA!$R$28,$B15&lt;=4),(3/q_v)*(DATA!$Q$28*DATA!$R$28/($B15^2)))))))</f>
        <v>0.57789818181818187</v>
      </c>
      <c r="Q15" s="51">
        <f>g*avg*v*IF(AND($B15&gt;=0,$B15&lt;=DATA!$P$28),(1+($B15/DATA!$P$28)*(3*n-1)),IF(AND($B15&gt;=DATA!$P$28,$B15&lt;=DATA!$Q$28),n*3,IF(AND($B15&gt;=DATA!$Q$28,$B15&lt;=DATA!$R$28),n*3*(DATA!$Q$28/$B15),IF(AND($B15&gt;=DATA!$R$28,$B15&lt;=4),3*n*(DATA!$Q$28*DATA!$R$28/$B15^2)))))</f>
        <v>0.43342363636363646</v>
      </c>
      <c r="R15" s="52">
        <f>MAX(0.2*g*avg*v,g*avg*v*IF(AND($B15&gt;=0,$B15&lt;=DATA!$P$28),((2/3)+($B15/DATA!$P$28)*((3/q_v)-(2/3))),IF(AND($B15&gt;=DATA!$P$28,$B15&lt;=DATA!$Q$28),3/q_v,IF(AND($B15&gt;=DATA!$Q$28,$B15&lt;=DATA!$R$28),(3/q_v)*(DATA!$Q$28/$B15),IF(AND($B15&gt;=DATA!$R$28,$B15&lt;=4),(3/q_v)*(DATA!$Q$28*DATA!$R$28/($B15^2)))))))</f>
        <v>0.28894909090909093</v>
      </c>
    </row>
    <row r="16" spans="1:18" x14ac:dyDescent="0.25">
      <c r="A16" s="19"/>
      <c r="B16" s="16">
        <f t="shared" si="8"/>
        <v>0.6</v>
      </c>
      <c r="C16" s="50">
        <f t="shared" si="0"/>
        <v>1.0416666666666667</v>
      </c>
      <c r="D16" s="51">
        <f t="shared" si="1"/>
        <v>0.29761904761904762</v>
      </c>
      <c r="E16" s="51">
        <f t="shared" si="2"/>
        <v>0.52083333333333337</v>
      </c>
      <c r="F16" s="52">
        <f t="shared" si="3"/>
        <v>0.14880952380952381</v>
      </c>
      <c r="G16" s="50">
        <f t="shared" si="4"/>
        <v>2.4525000000000001</v>
      </c>
      <c r="H16" s="51">
        <f t="shared" si="5"/>
        <v>0.70071428571428573</v>
      </c>
      <c r="I16" s="51">
        <f t="shared" si="6"/>
        <v>1.2262500000000001</v>
      </c>
      <c r="J16" s="52">
        <f t="shared" si="7"/>
        <v>0.35035714285714287</v>
      </c>
      <c r="K16" s="50">
        <f>IF(AND($B16&gt;=0,$B16&lt;=DATA!$P$28),(1+($B16/DATA!$P$28)*(3*n-1)),IF(AND($B16&gt;=DATA!$P$28,$B16&lt;=DATA!$Q$28),n*3,IF(AND($B16&gt;=DATA!$Q$28,$B16&lt;=DATA!$R$28),n*3*(DATA!$Q$28/$B16),IF(AND($B16&gt;=DATA!$R$28,$B16&lt;=4),3*n*(DATA!$Q$28*DATA!$R$28/$B16^2)))))</f>
        <v>0.75</v>
      </c>
      <c r="L16" s="51">
        <f>MAX(0.2,IF(AND($B16&gt;=0,$B16&lt;=DATA!$P$28),((2/3)+($B16/DATA!$P$28)*((3/q_v)-(2/3))),IF(AND($B16&gt;=DATA!$P$28,$B16&lt;=DATA!$Q$28),3/q_v,IF(AND($B16&gt;=DATA!$Q$28,$B16&lt;=DATA!$R$28),(3/q_v)*(DATA!$Q$28/$B16),IF(AND($B16&gt;=DATA!$R$28,$B16&lt;=4),(3/q_v)*(DATA!$Q$28*DATA!$R$28/($B16^2)))))))</f>
        <v>0.5</v>
      </c>
      <c r="M16" s="51">
        <f>v*IF(AND($B16&gt;=0,$B16&lt;=DATA!$P$28),(1+($B16/DATA!$P$28)*(3*n-1)),IF(AND($B16&gt;=DATA!$P$28,$B16&lt;=DATA!$Q$28),n*3,IF(AND($B16&gt;=DATA!$Q$28,$B16&lt;=DATA!$R$28),n*3*(DATA!$Q$28/$B16),IF(AND($B16&gt;=DATA!$R$28,$B16&lt;=4),3*n*(DATA!$Q$28*DATA!$R$28/$B16^2)))))</f>
        <v>0.375</v>
      </c>
      <c r="N16" s="52">
        <f>MAX(0.2,v*IF(AND($B16&gt;=0,$B16&lt;=DATA!$P$28),((2/3)+($B16/DATA!$P$28)*((3/q_v)-(2/3))),IF(AND($B16&gt;=DATA!$P$28,$B16&lt;=DATA!$Q$28),3/q_v,IF(AND($B16&gt;=DATA!$Q$28,$B16&lt;=DATA!$R$28),(3/q_v)*(DATA!$Q$28/$B16),IF(AND($B16&gt;=DATA!$R$28,$B16&lt;=4),(3/q_v)*(DATA!$Q$28*DATA!$R$28/($B16^2)))))))</f>
        <v>0.25</v>
      </c>
      <c r="O16" s="50">
        <f>g*avg*IF(AND($B16&gt;=0,$B16&lt;=DATA!$P$28),(1+($B16/DATA!$P$28)*(3*n-1)),IF(AND($B16&gt;=DATA!$P$28,$B16&lt;=DATA!$Q$28),n*3,IF(AND($B16&gt;=DATA!$Q$28,$B16&lt;=DATA!$R$28),n*3*(DATA!$Q$28/$B16),IF(AND($B16&gt;=DATA!$R$28,$B16&lt;=4),3*n*(DATA!$Q$28*DATA!$R$28/$B16^2)))))</f>
        <v>0.79461000000000004</v>
      </c>
      <c r="P16" s="51">
        <f>MAX(0.2*g*avg,g*avg*IF(AND($B16&gt;=0,$B16&lt;=DATA!$P$28),((2/3)+($B16/DATA!$P$28)*((3/q_v)-(2/3))),IF(AND($B16&gt;=DATA!$P$28,$B16&lt;=DATA!$Q$28),3/q_v,IF(AND($B16&gt;=DATA!$Q$28,$B16&lt;=DATA!$R$28),(3/q_v)*(DATA!$Q$28/$B16),IF(AND($B16&gt;=DATA!$R$28,$B16&lt;=4),(3/q_v)*(DATA!$Q$28*DATA!$R$28/($B16^2)))))))</f>
        <v>0.52973999999999999</v>
      </c>
      <c r="Q16" s="51">
        <f>g*avg*v*IF(AND($B16&gt;=0,$B16&lt;=DATA!$P$28),(1+($B16/DATA!$P$28)*(3*n-1)),IF(AND($B16&gt;=DATA!$P$28,$B16&lt;=DATA!$Q$28),n*3,IF(AND($B16&gt;=DATA!$Q$28,$B16&lt;=DATA!$R$28),n*3*(DATA!$Q$28/$B16),IF(AND($B16&gt;=DATA!$R$28,$B16&lt;=4),3*n*(DATA!$Q$28*DATA!$R$28/$B16^2)))))</f>
        <v>0.39730500000000002</v>
      </c>
      <c r="R16" s="52">
        <f>MAX(0.2*g*avg*v,g*avg*v*IF(AND($B16&gt;=0,$B16&lt;=DATA!$P$28),((2/3)+($B16/DATA!$P$28)*((3/q_v)-(2/3))),IF(AND($B16&gt;=DATA!$P$28,$B16&lt;=DATA!$Q$28),3/q_v,IF(AND($B16&gt;=DATA!$Q$28,$B16&lt;=DATA!$R$28),(3/q_v)*(DATA!$Q$28/$B16),IF(AND($B16&gt;=DATA!$R$28,$B16&lt;=4),(3/q_v)*(DATA!$Q$28*DATA!$R$28/($B16^2)))))))</f>
        <v>0.26486999999999999</v>
      </c>
    </row>
    <row r="17" spans="1:18" x14ac:dyDescent="0.25">
      <c r="A17" s="19"/>
      <c r="B17" s="16">
        <f t="shared" si="8"/>
        <v>0.65</v>
      </c>
      <c r="C17" s="50">
        <f t="shared" si="0"/>
        <v>0.96153846153846145</v>
      </c>
      <c r="D17" s="51">
        <f t="shared" si="1"/>
        <v>0.27472527472527469</v>
      </c>
      <c r="E17" s="51">
        <f t="shared" si="2"/>
        <v>0.48076923076923073</v>
      </c>
      <c r="F17" s="52">
        <f t="shared" si="3"/>
        <v>0.13736263736263735</v>
      </c>
      <c r="G17" s="50">
        <f t="shared" si="4"/>
        <v>2.2638461538461536</v>
      </c>
      <c r="H17" s="51">
        <f t="shared" si="5"/>
        <v>0.64681318681318678</v>
      </c>
      <c r="I17" s="51">
        <f t="shared" si="6"/>
        <v>1.1319230769230768</v>
      </c>
      <c r="J17" s="52">
        <f t="shared" si="7"/>
        <v>0.32340659340659339</v>
      </c>
      <c r="K17" s="50">
        <f>IF(AND($B17&gt;=0,$B17&lt;=DATA!$P$28),(1+($B17/DATA!$P$28)*(3*n-1)),IF(AND($B17&gt;=DATA!$P$28,$B17&lt;=DATA!$Q$28),n*3,IF(AND($B17&gt;=DATA!$Q$28,$B17&lt;=DATA!$R$28),n*3*(DATA!$Q$28/$B17),IF(AND($B17&gt;=DATA!$R$28,$B17&lt;=4),3*n*(DATA!$Q$28*DATA!$R$28/$B17^2)))))</f>
        <v>0.69230769230769229</v>
      </c>
      <c r="L17" s="51">
        <f>MAX(0.2,IF(AND($B17&gt;=0,$B17&lt;=DATA!$P$28),((2/3)+($B17/DATA!$P$28)*((3/q_v)-(2/3))),IF(AND($B17&gt;=DATA!$P$28,$B17&lt;=DATA!$Q$28),3/q_v,IF(AND($B17&gt;=DATA!$Q$28,$B17&lt;=DATA!$R$28),(3/q_v)*(DATA!$Q$28/$B17),IF(AND($B17&gt;=DATA!$R$28,$B17&lt;=4),(3/q_v)*(DATA!$Q$28*DATA!$R$28/($B17^2)))))))</f>
        <v>0.46153846153846151</v>
      </c>
      <c r="M17" s="51">
        <f>v*IF(AND($B17&gt;=0,$B17&lt;=DATA!$P$28),(1+($B17/DATA!$P$28)*(3*n-1)),IF(AND($B17&gt;=DATA!$P$28,$B17&lt;=DATA!$Q$28),n*3,IF(AND($B17&gt;=DATA!$Q$28,$B17&lt;=DATA!$R$28),n*3*(DATA!$Q$28/$B17),IF(AND($B17&gt;=DATA!$R$28,$B17&lt;=4),3*n*(DATA!$Q$28*DATA!$R$28/$B17^2)))))</f>
        <v>0.34615384615384615</v>
      </c>
      <c r="N17" s="52">
        <f>MAX(0.2,v*IF(AND($B17&gt;=0,$B17&lt;=DATA!$P$28),((2/3)+($B17/DATA!$P$28)*((3/q_v)-(2/3))),IF(AND($B17&gt;=DATA!$P$28,$B17&lt;=DATA!$Q$28),3/q_v,IF(AND($B17&gt;=DATA!$Q$28,$B17&lt;=DATA!$R$28),(3/q_v)*(DATA!$Q$28/$B17),IF(AND($B17&gt;=DATA!$R$28,$B17&lt;=4),(3/q_v)*(DATA!$Q$28*DATA!$R$28/($B17^2)))))))</f>
        <v>0.23076923076923075</v>
      </c>
      <c r="O17" s="50">
        <f>g*avg*IF(AND($B17&gt;=0,$B17&lt;=DATA!$P$28),(1+($B17/DATA!$P$28)*(3*n-1)),IF(AND($B17&gt;=DATA!$P$28,$B17&lt;=DATA!$Q$28),n*3,IF(AND($B17&gt;=DATA!$Q$28,$B17&lt;=DATA!$R$28),n*3*(DATA!$Q$28/$B17),IF(AND($B17&gt;=DATA!$R$28,$B17&lt;=4),3*n*(DATA!$Q$28*DATA!$R$28/$B17^2)))))</f>
        <v>0.73348615384615379</v>
      </c>
      <c r="P17" s="51">
        <f>MAX(0.2*g*avg,g*avg*IF(AND($B17&gt;=0,$B17&lt;=DATA!$P$28),((2/3)+($B17/DATA!$P$28)*((3/q_v)-(2/3))),IF(AND($B17&gt;=DATA!$P$28,$B17&lt;=DATA!$Q$28),3/q_v,IF(AND($B17&gt;=DATA!$Q$28,$B17&lt;=DATA!$R$28),(3/q_v)*(DATA!$Q$28/$B17),IF(AND($B17&gt;=DATA!$R$28,$B17&lt;=4),(3/q_v)*(DATA!$Q$28*DATA!$R$28/($B17^2)))))))</f>
        <v>0.48899076923076917</v>
      </c>
      <c r="Q17" s="51">
        <f>g*avg*v*IF(AND($B17&gt;=0,$B17&lt;=DATA!$P$28),(1+($B17/DATA!$P$28)*(3*n-1)),IF(AND($B17&gt;=DATA!$P$28,$B17&lt;=DATA!$Q$28),n*3,IF(AND($B17&gt;=DATA!$Q$28,$B17&lt;=DATA!$R$28),n*3*(DATA!$Q$28/$B17),IF(AND($B17&gt;=DATA!$R$28,$B17&lt;=4),3*n*(DATA!$Q$28*DATA!$R$28/$B17^2)))))</f>
        <v>0.36674307692307689</v>
      </c>
      <c r="R17" s="52">
        <f>MAX(0.2*g*avg*v,g*avg*v*IF(AND($B17&gt;=0,$B17&lt;=DATA!$P$28),((2/3)+($B17/DATA!$P$28)*((3/q_v)-(2/3))),IF(AND($B17&gt;=DATA!$P$28,$B17&lt;=DATA!$Q$28),3/q_v,IF(AND($B17&gt;=DATA!$Q$28,$B17&lt;=DATA!$R$28),(3/q_v)*(DATA!$Q$28/$B17),IF(AND($B17&gt;=DATA!$R$28,$B17&lt;=4),(3/q_v)*(DATA!$Q$28*DATA!$R$28/($B17^2)))))))</f>
        <v>0.24449538461538459</v>
      </c>
    </row>
    <row r="18" spans="1:18" x14ac:dyDescent="0.25">
      <c r="A18" s="19"/>
      <c r="B18" s="16">
        <f t="shared" si="8"/>
        <v>0.70000000000000007</v>
      </c>
      <c r="C18" s="50">
        <f t="shared" si="0"/>
        <v>0.89285714285714279</v>
      </c>
      <c r="D18" s="51">
        <f t="shared" si="1"/>
        <v>0.25510204081632648</v>
      </c>
      <c r="E18" s="51">
        <f t="shared" si="2"/>
        <v>0.4464285714285714</v>
      </c>
      <c r="F18" s="52">
        <f t="shared" si="3"/>
        <v>0.12755102040816324</v>
      </c>
      <c r="G18" s="50">
        <f t="shared" si="4"/>
        <v>2.1021428571428569</v>
      </c>
      <c r="H18" s="51">
        <f t="shared" si="5"/>
        <v>0.60061224489795906</v>
      </c>
      <c r="I18" s="51">
        <f t="shared" si="6"/>
        <v>1.0510714285714284</v>
      </c>
      <c r="J18" s="52">
        <f t="shared" si="7"/>
        <v>0.30030612244897953</v>
      </c>
      <c r="K18" s="50">
        <f>IF(AND($B18&gt;=0,$B18&lt;=DATA!$P$28),(1+($B18/DATA!$P$28)*(3*n-1)),IF(AND($B18&gt;=DATA!$P$28,$B18&lt;=DATA!$Q$28),n*3,IF(AND($B18&gt;=DATA!$Q$28,$B18&lt;=DATA!$R$28),n*3*(DATA!$Q$28/$B18),IF(AND($B18&gt;=DATA!$R$28,$B18&lt;=4),3*n*(DATA!$Q$28*DATA!$R$28/$B18^2)))))</f>
        <v>0.64285714285714279</v>
      </c>
      <c r="L18" s="51">
        <f>MAX(0.2,IF(AND($B18&gt;=0,$B18&lt;=DATA!$P$28),((2/3)+($B18/DATA!$P$28)*((3/q_v)-(2/3))),IF(AND($B18&gt;=DATA!$P$28,$B18&lt;=DATA!$Q$28),3/q_v,IF(AND($B18&gt;=DATA!$Q$28,$B18&lt;=DATA!$R$28),(3/q_v)*(DATA!$Q$28/$B18),IF(AND($B18&gt;=DATA!$R$28,$B18&lt;=4),(3/q_v)*(DATA!$Q$28*DATA!$R$28/($B18^2)))))))</f>
        <v>0.42857142857142849</v>
      </c>
      <c r="M18" s="51">
        <f>v*IF(AND($B18&gt;=0,$B18&lt;=DATA!$P$28),(1+($B18/DATA!$P$28)*(3*n-1)),IF(AND($B18&gt;=DATA!$P$28,$B18&lt;=DATA!$Q$28),n*3,IF(AND($B18&gt;=DATA!$Q$28,$B18&lt;=DATA!$R$28),n*3*(DATA!$Q$28/$B18),IF(AND($B18&gt;=DATA!$R$28,$B18&lt;=4),3*n*(DATA!$Q$28*DATA!$R$28/$B18^2)))))</f>
        <v>0.3214285714285714</v>
      </c>
      <c r="N18" s="52">
        <f>MAX(0.2,v*IF(AND($B18&gt;=0,$B18&lt;=DATA!$P$28),((2/3)+($B18/DATA!$P$28)*((3/q_v)-(2/3))),IF(AND($B18&gt;=DATA!$P$28,$B18&lt;=DATA!$Q$28),3/q_v,IF(AND($B18&gt;=DATA!$Q$28,$B18&lt;=DATA!$R$28),(3/q_v)*(DATA!$Q$28/$B18),IF(AND($B18&gt;=DATA!$R$28,$B18&lt;=4),(3/q_v)*(DATA!$Q$28*DATA!$R$28/($B18^2)))))))</f>
        <v>0.21428571428571425</v>
      </c>
      <c r="O18" s="50">
        <f>g*avg*IF(AND($B18&gt;=0,$B18&lt;=DATA!$P$28),(1+($B18/DATA!$P$28)*(3*n-1)),IF(AND($B18&gt;=DATA!$P$28,$B18&lt;=DATA!$Q$28),n*3,IF(AND($B18&gt;=DATA!$Q$28,$B18&lt;=DATA!$R$28),n*3*(DATA!$Q$28/$B18),IF(AND($B18&gt;=DATA!$R$28,$B18&lt;=4),3*n*(DATA!$Q$28*DATA!$R$28/$B18^2)))))</f>
        <v>0.68109428571428565</v>
      </c>
      <c r="P18" s="51">
        <f>MAX(0.2*g*avg,g*avg*IF(AND($B18&gt;=0,$B18&lt;=DATA!$P$28),((2/3)+($B18/DATA!$P$28)*((3/q_v)-(2/3))),IF(AND($B18&gt;=DATA!$P$28,$B18&lt;=DATA!$Q$28),3/q_v,IF(AND($B18&gt;=DATA!$Q$28,$B18&lt;=DATA!$R$28),(3/q_v)*(DATA!$Q$28/$B18),IF(AND($B18&gt;=DATA!$R$28,$B18&lt;=4),(3/q_v)*(DATA!$Q$28*DATA!$R$28/($B18^2)))))))</f>
        <v>0.45406285714285705</v>
      </c>
      <c r="Q18" s="51">
        <f>g*avg*v*IF(AND($B18&gt;=0,$B18&lt;=DATA!$P$28),(1+($B18/DATA!$P$28)*(3*n-1)),IF(AND($B18&gt;=DATA!$P$28,$B18&lt;=DATA!$Q$28),n*3,IF(AND($B18&gt;=DATA!$Q$28,$B18&lt;=DATA!$R$28),n*3*(DATA!$Q$28/$B18),IF(AND($B18&gt;=DATA!$R$28,$B18&lt;=4),3*n*(DATA!$Q$28*DATA!$R$28/$B18^2)))))</f>
        <v>0.34054714285714283</v>
      </c>
      <c r="R18" s="52">
        <f>MAX(0.2*g*avg*v,g*avg*v*IF(AND($B18&gt;=0,$B18&lt;=DATA!$P$28),((2/3)+($B18/DATA!$P$28)*((3/q_v)-(2/3))),IF(AND($B18&gt;=DATA!$P$28,$B18&lt;=DATA!$Q$28),3/q_v,IF(AND($B18&gt;=DATA!$Q$28,$B18&lt;=DATA!$R$28),(3/q_v)*(DATA!$Q$28/$B18),IF(AND($B18&gt;=DATA!$R$28,$B18&lt;=4),(3/q_v)*(DATA!$Q$28*DATA!$R$28/($B18^2)))))))</f>
        <v>0.22703142857142852</v>
      </c>
    </row>
    <row r="19" spans="1:18" x14ac:dyDescent="0.25">
      <c r="A19" s="19"/>
      <c r="B19" s="16">
        <f t="shared" si="8"/>
        <v>0.75000000000000011</v>
      </c>
      <c r="C19" s="50">
        <f t="shared" si="0"/>
        <v>0.83333333333333315</v>
      </c>
      <c r="D19" s="51">
        <f t="shared" si="1"/>
        <v>0.23809523809523805</v>
      </c>
      <c r="E19" s="51">
        <f t="shared" si="2"/>
        <v>0.41666666666666657</v>
      </c>
      <c r="F19" s="52">
        <f t="shared" si="3"/>
        <v>0.11904761904761903</v>
      </c>
      <c r="G19" s="50">
        <f t="shared" si="4"/>
        <v>1.9619999999999995</v>
      </c>
      <c r="H19" s="51">
        <f t="shared" si="5"/>
        <v>0.5605714285714285</v>
      </c>
      <c r="I19" s="51">
        <f t="shared" si="6"/>
        <v>0.98099999999999976</v>
      </c>
      <c r="J19" s="52">
        <f t="shared" si="7"/>
        <v>0.28028571428571425</v>
      </c>
      <c r="K19" s="50">
        <f>IF(AND($B19&gt;=0,$B19&lt;=DATA!$P$28),(1+($B19/DATA!$P$28)*(3*n-1)),IF(AND($B19&gt;=DATA!$P$28,$B19&lt;=DATA!$Q$28),n*3,IF(AND($B19&gt;=DATA!$Q$28,$B19&lt;=DATA!$R$28),n*3*(DATA!$Q$28/$B19),IF(AND($B19&gt;=DATA!$R$28,$B19&lt;=4),3*n*(DATA!$Q$28*DATA!$R$28/$B19^2)))))</f>
        <v>0.59999999999999987</v>
      </c>
      <c r="L19" s="51">
        <f>MAX(0.2,IF(AND($B19&gt;=0,$B19&lt;=DATA!$P$28),((2/3)+($B19/DATA!$P$28)*((3/q_v)-(2/3))),IF(AND($B19&gt;=DATA!$P$28,$B19&lt;=DATA!$Q$28),3/q_v,IF(AND($B19&gt;=DATA!$Q$28,$B19&lt;=DATA!$R$28),(3/q_v)*(DATA!$Q$28/$B19),IF(AND($B19&gt;=DATA!$R$28,$B19&lt;=4),(3/q_v)*(DATA!$Q$28*DATA!$R$28/($B19^2)))))))</f>
        <v>0.39999999999999991</v>
      </c>
      <c r="M19" s="51">
        <f>v*IF(AND($B19&gt;=0,$B19&lt;=DATA!$P$28),(1+($B19/DATA!$P$28)*(3*n-1)),IF(AND($B19&gt;=DATA!$P$28,$B19&lt;=DATA!$Q$28),n*3,IF(AND($B19&gt;=DATA!$Q$28,$B19&lt;=DATA!$R$28),n*3*(DATA!$Q$28/$B19),IF(AND($B19&gt;=DATA!$R$28,$B19&lt;=4),3*n*(DATA!$Q$28*DATA!$R$28/$B19^2)))))</f>
        <v>0.29999999999999993</v>
      </c>
      <c r="N19" s="52">
        <f>MAX(0.2,v*IF(AND($B19&gt;=0,$B19&lt;=DATA!$P$28),((2/3)+($B19/DATA!$P$28)*((3/q_v)-(2/3))),IF(AND($B19&gt;=DATA!$P$28,$B19&lt;=DATA!$Q$28),3/q_v,IF(AND($B19&gt;=DATA!$Q$28,$B19&lt;=DATA!$R$28),(3/q_v)*(DATA!$Q$28/$B19),IF(AND($B19&gt;=DATA!$R$28,$B19&lt;=4),(3/q_v)*(DATA!$Q$28*DATA!$R$28/($B19^2)))))))</f>
        <v>0.2</v>
      </c>
      <c r="O19" s="50">
        <f>g*avg*IF(AND($B19&gt;=0,$B19&lt;=DATA!$P$28),(1+($B19/DATA!$P$28)*(3*n-1)),IF(AND($B19&gt;=DATA!$P$28,$B19&lt;=DATA!$Q$28),n*3,IF(AND($B19&gt;=DATA!$Q$28,$B19&lt;=DATA!$R$28),n*3*(DATA!$Q$28/$B19),IF(AND($B19&gt;=DATA!$R$28,$B19&lt;=4),3*n*(DATA!$Q$28*DATA!$R$28/$B19^2)))))</f>
        <v>0.63568799999999981</v>
      </c>
      <c r="P19" s="51">
        <f>MAX(0.2*g*avg,g*avg*IF(AND($B19&gt;=0,$B19&lt;=DATA!$P$28),((2/3)+($B19/DATA!$P$28)*((3/q_v)-(2/3))),IF(AND($B19&gt;=DATA!$P$28,$B19&lt;=DATA!$Q$28),3/q_v,IF(AND($B19&gt;=DATA!$Q$28,$B19&lt;=DATA!$R$28),(3/q_v)*(DATA!$Q$28/$B19),IF(AND($B19&gt;=DATA!$R$28,$B19&lt;=4),(3/q_v)*(DATA!$Q$28*DATA!$R$28/($B19^2)))))))</f>
        <v>0.42379199999999989</v>
      </c>
      <c r="Q19" s="51">
        <f>g*avg*v*IF(AND($B19&gt;=0,$B19&lt;=DATA!$P$28),(1+($B19/DATA!$P$28)*(3*n-1)),IF(AND($B19&gt;=DATA!$P$28,$B19&lt;=DATA!$Q$28),n*3,IF(AND($B19&gt;=DATA!$Q$28,$B19&lt;=DATA!$R$28),n*3*(DATA!$Q$28/$B19),IF(AND($B19&gt;=DATA!$R$28,$B19&lt;=4),3*n*(DATA!$Q$28*DATA!$R$28/$B19^2)))))</f>
        <v>0.3178439999999999</v>
      </c>
      <c r="R19" s="52">
        <f>MAX(0.2*g*avg*v,g*avg*v*IF(AND($B19&gt;=0,$B19&lt;=DATA!$P$28),((2/3)+($B19/DATA!$P$28)*((3/q_v)-(2/3))),IF(AND($B19&gt;=DATA!$P$28,$B19&lt;=DATA!$Q$28),3/q_v,IF(AND($B19&gt;=DATA!$Q$28,$B19&lt;=DATA!$R$28),(3/q_v)*(DATA!$Q$28/$B19),IF(AND($B19&gt;=DATA!$R$28,$B19&lt;=4),(3/q_v)*(DATA!$Q$28*DATA!$R$28/($B19^2)))))))</f>
        <v>0.21189599999999995</v>
      </c>
    </row>
    <row r="20" spans="1:18" x14ac:dyDescent="0.25">
      <c r="A20" s="19"/>
      <c r="B20" s="16">
        <f t="shared" si="8"/>
        <v>0.80000000000000016</v>
      </c>
      <c r="C20" s="50">
        <f t="shared" si="0"/>
        <v>0.78124999999999989</v>
      </c>
      <c r="D20" s="51">
        <f t="shared" si="1"/>
        <v>0.22321428571428567</v>
      </c>
      <c r="E20" s="51">
        <f t="shared" si="2"/>
        <v>0.39062499999999994</v>
      </c>
      <c r="F20" s="52">
        <f t="shared" si="3"/>
        <v>0.11160714285714284</v>
      </c>
      <c r="G20" s="50">
        <f t="shared" si="4"/>
        <v>1.8393749999999998</v>
      </c>
      <c r="H20" s="51">
        <f t="shared" si="5"/>
        <v>0.52553571428571422</v>
      </c>
      <c r="I20" s="51">
        <f t="shared" si="6"/>
        <v>0.91968749999999988</v>
      </c>
      <c r="J20" s="52">
        <f t="shared" si="7"/>
        <v>0.26276785714285711</v>
      </c>
      <c r="K20" s="50">
        <f>IF(AND($B20&gt;=0,$B20&lt;=DATA!$P$28),(1+($B20/DATA!$P$28)*(3*n-1)),IF(AND($B20&gt;=DATA!$P$28,$B20&lt;=DATA!$Q$28),n*3,IF(AND($B20&gt;=DATA!$Q$28,$B20&lt;=DATA!$R$28),n*3*(DATA!$Q$28/$B20),IF(AND($B20&gt;=DATA!$R$28,$B20&lt;=4),3*n*(DATA!$Q$28*DATA!$R$28/$B20^2)))))</f>
        <v>0.56249999999999978</v>
      </c>
      <c r="L20" s="51">
        <f>MAX(0.2,IF(AND($B20&gt;=0,$B20&lt;=DATA!$P$28),((2/3)+($B20/DATA!$P$28)*((3/q_v)-(2/3))),IF(AND($B20&gt;=DATA!$P$28,$B20&lt;=DATA!$Q$28),3/q_v,IF(AND($B20&gt;=DATA!$Q$28,$B20&lt;=DATA!$R$28),(3/q_v)*(DATA!$Q$28/$B20),IF(AND($B20&gt;=DATA!$R$28,$B20&lt;=4),(3/q_v)*(DATA!$Q$28*DATA!$R$28/($B20^2)))))))</f>
        <v>0.37499999999999989</v>
      </c>
      <c r="M20" s="51">
        <f>v*IF(AND($B20&gt;=0,$B20&lt;=DATA!$P$28),(1+($B20/DATA!$P$28)*(3*n-1)),IF(AND($B20&gt;=DATA!$P$28,$B20&lt;=DATA!$Q$28),n*3,IF(AND($B20&gt;=DATA!$Q$28,$B20&lt;=DATA!$R$28),n*3*(DATA!$Q$28/$B20),IF(AND($B20&gt;=DATA!$R$28,$B20&lt;=4),3*n*(DATA!$Q$28*DATA!$R$28/$B20^2)))))</f>
        <v>0.28124999999999989</v>
      </c>
      <c r="N20" s="52">
        <f>MAX(0.2,v*IF(AND($B20&gt;=0,$B20&lt;=DATA!$P$28),((2/3)+($B20/DATA!$P$28)*((3/q_v)-(2/3))),IF(AND($B20&gt;=DATA!$P$28,$B20&lt;=DATA!$Q$28),3/q_v,IF(AND($B20&gt;=DATA!$Q$28,$B20&lt;=DATA!$R$28),(3/q_v)*(DATA!$Q$28/$B20),IF(AND($B20&gt;=DATA!$R$28,$B20&lt;=4),(3/q_v)*(DATA!$Q$28*DATA!$R$28/($B20^2)))))))</f>
        <v>0.2</v>
      </c>
      <c r="O20" s="50">
        <f>g*avg*IF(AND($B20&gt;=0,$B20&lt;=DATA!$P$28),(1+($B20/DATA!$P$28)*(3*n-1)),IF(AND($B20&gt;=DATA!$P$28,$B20&lt;=DATA!$Q$28),n*3,IF(AND($B20&gt;=DATA!$Q$28,$B20&lt;=DATA!$R$28),n*3*(DATA!$Q$28/$B20),IF(AND($B20&gt;=DATA!$R$28,$B20&lt;=4),3*n*(DATA!$Q$28*DATA!$R$28/$B20^2)))))</f>
        <v>0.59595749999999981</v>
      </c>
      <c r="P20" s="51">
        <f>MAX(0.2*g*avg,g*avg*IF(AND($B20&gt;=0,$B20&lt;=DATA!$P$28),((2/3)+($B20/DATA!$P$28)*((3/q_v)-(2/3))),IF(AND($B20&gt;=DATA!$P$28,$B20&lt;=DATA!$Q$28),3/q_v,IF(AND($B20&gt;=DATA!$Q$28,$B20&lt;=DATA!$R$28),(3/q_v)*(DATA!$Q$28/$B20),IF(AND($B20&gt;=DATA!$R$28,$B20&lt;=4),(3/q_v)*(DATA!$Q$28*DATA!$R$28/($B20^2)))))))</f>
        <v>0.39730499999999985</v>
      </c>
      <c r="Q20" s="51">
        <f>g*avg*v*IF(AND($B20&gt;=0,$B20&lt;=DATA!$P$28),(1+($B20/DATA!$P$28)*(3*n-1)),IF(AND($B20&gt;=DATA!$P$28,$B20&lt;=DATA!$Q$28),n*3,IF(AND($B20&gt;=DATA!$Q$28,$B20&lt;=DATA!$R$28),n*3*(DATA!$Q$28/$B20),IF(AND($B20&gt;=DATA!$R$28,$B20&lt;=4),3*n*(DATA!$Q$28*DATA!$R$28/$B20^2)))))</f>
        <v>0.2979787499999999</v>
      </c>
      <c r="R20" s="52">
        <f>MAX(0.2*g*avg*v,g*avg*v*IF(AND($B20&gt;=0,$B20&lt;=DATA!$P$28),((2/3)+($B20/DATA!$P$28)*((3/q_v)-(2/3))),IF(AND($B20&gt;=DATA!$P$28,$B20&lt;=DATA!$Q$28),3/q_v,IF(AND($B20&gt;=DATA!$Q$28,$B20&lt;=DATA!$R$28),(3/q_v)*(DATA!$Q$28/$B20),IF(AND($B20&gt;=DATA!$R$28,$B20&lt;=4),(3/q_v)*(DATA!$Q$28*DATA!$R$28/($B20^2)))))))</f>
        <v>0.19865249999999993</v>
      </c>
    </row>
    <row r="21" spans="1:18" x14ac:dyDescent="0.25">
      <c r="A21" s="19"/>
      <c r="B21" s="16">
        <f t="shared" si="8"/>
        <v>0.8500000000000002</v>
      </c>
      <c r="C21" s="50">
        <f t="shared" si="0"/>
        <v>0.73529411764705865</v>
      </c>
      <c r="D21" s="51">
        <f t="shared" si="1"/>
        <v>0.21008403361344535</v>
      </c>
      <c r="E21" s="51">
        <f t="shared" si="2"/>
        <v>0.36764705882352933</v>
      </c>
      <c r="F21" s="52">
        <f t="shared" si="3"/>
        <v>0.10504201680672268</v>
      </c>
      <c r="G21" s="50">
        <f t="shared" si="4"/>
        <v>1.7311764705882349</v>
      </c>
      <c r="H21" s="51">
        <f t="shared" si="5"/>
        <v>0.49462184873949577</v>
      </c>
      <c r="I21" s="51">
        <f t="shared" si="6"/>
        <v>0.86558823529411744</v>
      </c>
      <c r="J21" s="52">
        <f t="shared" si="7"/>
        <v>0.24731092436974789</v>
      </c>
      <c r="K21" s="50">
        <f>IF(AND($B21&gt;=0,$B21&lt;=DATA!$P$28),(1+($B21/DATA!$P$28)*(3*n-1)),IF(AND($B21&gt;=DATA!$P$28,$B21&lt;=DATA!$Q$28),n*3,IF(AND($B21&gt;=DATA!$Q$28,$B21&lt;=DATA!$R$28),n*3*(DATA!$Q$28/$B21),IF(AND($B21&gt;=DATA!$R$28,$B21&lt;=4),3*n*(DATA!$Q$28*DATA!$R$28/$B21^2)))))</f>
        <v>0.52941176470588225</v>
      </c>
      <c r="L21" s="51">
        <f>MAX(0.2,IF(AND($B21&gt;=0,$B21&lt;=DATA!$P$28),((2/3)+($B21/DATA!$P$28)*((3/q_v)-(2/3))),IF(AND($B21&gt;=DATA!$P$28,$B21&lt;=DATA!$Q$28),3/q_v,IF(AND($B21&gt;=DATA!$Q$28,$B21&lt;=DATA!$R$28),(3/q_v)*(DATA!$Q$28/$B21),IF(AND($B21&gt;=DATA!$R$28,$B21&lt;=4),(3/q_v)*(DATA!$Q$28*DATA!$R$28/($B21^2)))))))</f>
        <v>0.35294117647058815</v>
      </c>
      <c r="M21" s="51">
        <f>v*IF(AND($B21&gt;=0,$B21&lt;=DATA!$P$28),(1+($B21/DATA!$P$28)*(3*n-1)),IF(AND($B21&gt;=DATA!$P$28,$B21&lt;=DATA!$Q$28),n*3,IF(AND($B21&gt;=DATA!$Q$28,$B21&lt;=DATA!$R$28),n*3*(DATA!$Q$28/$B21),IF(AND($B21&gt;=DATA!$R$28,$B21&lt;=4),3*n*(DATA!$Q$28*DATA!$R$28/$B21^2)))))</f>
        <v>0.26470588235294112</v>
      </c>
      <c r="N21" s="52">
        <f>MAX(0.2,v*IF(AND($B21&gt;=0,$B21&lt;=DATA!$P$28),((2/3)+($B21/DATA!$P$28)*((3/q_v)-(2/3))),IF(AND($B21&gt;=DATA!$P$28,$B21&lt;=DATA!$Q$28),3/q_v,IF(AND($B21&gt;=DATA!$Q$28,$B21&lt;=DATA!$R$28),(3/q_v)*(DATA!$Q$28/$B21),IF(AND($B21&gt;=DATA!$R$28,$B21&lt;=4),(3/q_v)*(DATA!$Q$28*DATA!$R$28/($B21^2)))))))</f>
        <v>0.2</v>
      </c>
      <c r="O21" s="50">
        <f>g*avg*IF(AND($B21&gt;=0,$B21&lt;=DATA!$P$28),(1+($B21/DATA!$P$28)*(3*n-1)),IF(AND($B21&gt;=DATA!$P$28,$B21&lt;=DATA!$Q$28),n*3,IF(AND($B21&gt;=DATA!$Q$28,$B21&lt;=DATA!$R$28),n*3*(DATA!$Q$28/$B21),IF(AND($B21&gt;=DATA!$R$28,$B21&lt;=4),3*n*(DATA!$Q$28*DATA!$R$28/$B21^2)))))</f>
        <v>0.56090117647058813</v>
      </c>
      <c r="P21" s="51">
        <f>MAX(0.2*g*avg,g*avg*IF(AND($B21&gt;=0,$B21&lt;=DATA!$P$28),((2/3)+($B21/DATA!$P$28)*((3/q_v)-(2/3))),IF(AND($B21&gt;=DATA!$P$28,$B21&lt;=DATA!$Q$28),3/q_v,IF(AND($B21&gt;=DATA!$Q$28,$B21&lt;=DATA!$R$28),(3/q_v)*(DATA!$Q$28/$B21),IF(AND($B21&gt;=DATA!$R$28,$B21&lt;=4),(3/q_v)*(DATA!$Q$28*DATA!$R$28/($B21^2)))))))</f>
        <v>0.37393411764705869</v>
      </c>
      <c r="Q21" s="51">
        <f>g*avg*v*IF(AND($B21&gt;=0,$B21&lt;=DATA!$P$28),(1+($B21/DATA!$P$28)*(3*n-1)),IF(AND($B21&gt;=DATA!$P$28,$B21&lt;=DATA!$Q$28),n*3,IF(AND($B21&gt;=DATA!$Q$28,$B21&lt;=DATA!$R$28),n*3*(DATA!$Q$28/$B21),IF(AND($B21&gt;=DATA!$R$28,$B21&lt;=4),3*n*(DATA!$Q$28*DATA!$R$28/$B21^2)))))</f>
        <v>0.28045058823529406</v>
      </c>
      <c r="R21" s="52">
        <f>MAX(0.2*g*avg*v,g*avg*v*IF(AND($B21&gt;=0,$B21&lt;=DATA!$P$28),((2/3)+($B21/DATA!$P$28)*((3/q_v)-(2/3))),IF(AND($B21&gt;=DATA!$P$28,$B21&lt;=DATA!$Q$28),3/q_v,IF(AND($B21&gt;=DATA!$Q$28,$B21&lt;=DATA!$R$28),(3/q_v)*(DATA!$Q$28/$B21),IF(AND($B21&gt;=DATA!$R$28,$B21&lt;=4),(3/q_v)*(DATA!$Q$28*DATA!$R$28/($B21^2)))))))</f>
        <v>0.18696705882352935</v>
      </c>
    </row>
    <row r="22" spans="1:18" x14ac:dyDescent="0.25">
      <c r="A22" s="19"/>
      <c r="B22" s="16">
        <f t="shared" si="8"/>
        <v>0.90000000000000024</v>
      </c>
      <c r="C22" s="50">
        <f t="shared" si="0"/>
        <v>0.6944444444444442</v>
      </c>
      <c r="D22" s="51">
        <f t="shared" si="1"/>
        <v>0.2</v>
      </c>
      <c r="E22" s="51">
        <f t="shared" si="2"/>
        <v>0.3472222222222221</v>
      </c>
      <c r="F22" s="52">
        <f t="shared" si="3"/>
        <v>0.1</v>
      </c>
      <c r="G22" s="50">
        <f t="shared" si="4"/>
        <v>1.6349999999999993</v>
      </c>
      <c r="H22" s="51">
        <f t="shared" si="5"/>
        <v>0.47088000000000002</v>
      </c>
      <c r="I22" s="51">
        <f t="shared" si="6"/>
        <v>0.81749999999999967</v>
      </c>
      <c r="J22" s="52">
        <f t="shared" si="7"/>
        <v>0.23544000000000001</v>
      </c>
      <c r="K22" s="50">
        <f>IF(AND($B22&gt;=0,$B22&lt;=DATA!$P$28),(1+($B22/DATA!$P$28)*(3*n-1)),IF(AND($B22&gt;=DATA!$P$28,$B22&lt;=DATA!$Q$28),n*3,IF(AND($B22&gt;=DATA!$Q$28,$B22&lt;=DATA!$R$28),n*3*(DATA!$Q$28/$B22),IF(AND($B22&gt;=DATA!$R$28,$B22&lt;=4),3*n*(DATA!$Q$28*DATA!$R$28/$B22^2)))))</f>
        <v>0.49999999999999978</v>
      </c>
      <c r="L22" s="51">
        <f>MAX(0.2,IF(AND($B22&gt;=0,$B22&lt;=DATA!$P$28),((2/3)+($B22/DATA!$P$28)*((3/q_v)-(2/3))),IF(AND($B22&gt;=DATA!$P$28,$B22&lt;=DATA!$Q$28),3/q_v,IF(AND($B22&gt;=DATA!$Q$28,$B22&lt;=DATA!$R$28),(3/q_v)*(DATA!$Q$28/$B22),IF(AND($B22&gt;=DATA!$R$28,$B22&lt;=4),(3/q_v)*(DATA!$Q$28*DATA!$R$28/($B22^2)))))))</f>
        <v>0.3333333333333332</v>
      </c>
      <c r="M22" s="51">
        <f>v*IF(AND($B22&gt;=0,$B22&lt;=DATA!$P$28),(1+($B22/DATA!$P$28)*(3*n-1)),IF(AND($B22&gt;=DATA!$P$28,$B22&lt;=DATA!$Q$28),n*3,IF(AND($B22&gt;=DATA!$Q$28,$B22&lt;=DATA!$R$28),n*3*(DATA!$Q$28/$B22),IF(AND($B22&gt;=DATA!$R$28,$B22&lt;=4),3*n*(DATA!$Q$28*DATA!$R$28/$B22^2)))))</f>
        <v>0.24999999999999989</v>
      </c>
      <c r="N22" s="52">
        <f>MAX(0.2,v*IF(AND($B22&gt;=0,$B22&lt;=DATA!$P$28),((2/3)+($B22/DATA!$P$28)*((3/q_v)-(2/3))),IF(AND($B22&gt;=DATA!$P$28,$B22&lt;=DATA!$Q$28),3/q_v,IF(AND($B22&gt;=DATA!$Q$28,$B22&lt;=DATA!$R$28),(3/q_v)*(DATA!$Q$28/$B22),IF(AND($B22&gt;=DATA!$R$28,$B22&lt;=4),(3/q_v)*(DATA!$Q$28*DATA!$R$28/($B22^2)))))))</f>
        <v>0.2</v>
      </c>
      <c r="O22" s="50">
        <f>g*avg*IF(AND($B22&gt;=0,$B22&lt;=DATA!$P$28),(1+($B22/DATA!$P$28)*(3*n-1)),IF(AND($B22&gt;=DATA!$P$28,$B22&lt;=DATA!$Q$28),n*3,IF(AND($B22&gt;=DATA!$Q$28,$B22&lt;=DATA!$R$28),n*3*(DATA!$Q$28/$B22),IF(AND($B22&gt;=DATA!$R$28,$B22&lt;=4),3*n*(DATA!$Q$28*DATA!$R$28/$B22^2)))))</f>
        <v>0.52973999999999977</v>
      </c>
      <c r="P22" s="51">
        <f>MAX(0.2*g*avg,g*avg*IF(AND($B22&gt;=0,$B22&lt;=DATA!$P$28),((2/3)+($B22/DATA!$P$28)*((3/q_v)-(2/3))),IF(AND($B22&gt;=DATA!$P$28,$B22&lt;=DATA!$Q$28),3/q_v,IF(AND($B22&gt;=DATA!$Q$28,$B22&lt;=DATA!$R$28),(3/q_v)*(DATA!$Q$28/$B22),IF(AND($B22&gt;=DATA!$R$28,$B22&lt;=4),(3/q_v)*(DATA!$Q$28*DATA!$R$28/($B22^2)))))))</f>
        <v>0.35315999999999986</v>
      </c>
      <c r="Q22" s="51">
        <f>g*avg*v*IF(AND($B22&gt;=0,$B22&lt;=DATA!$P$28),(1+($B22/DATA!$P$28)*(3*n-1)),IF(AND($B22&gt;=DATA!$P$28,$B22&lt;=DATA!$Q$28),n*3,IF(AND($B22&gt;=DATA!$Q$28,$B22&lt;=DATA!$R$28),n*3*(DATA!$Q$28/$B22),IF(AND($B22&gt;=DATA!$R$28,$B22&lt;=4),3*n*(DATA!$Q$28*DATA!$R$28/$B22^2)))))</f>
        <v>0.26486999999999988</v>
      </c>
      <c r="R22" s="52">
        <f>MAX(0.2*g*avg*v,g*avg*v*IF(AND($B22&gt;=0,$B22&lt;=DATA!$P$28),((2/3)+($B22/DATA!$P$28)*((3/q_v)-(2/3))),IF(AND($B22&gt;=DATA!$P$28,$B22&lt;=DATA!$Q$28),3/q_v,IF(AND($B22&gt;=DATA!$Q$28,$B22&lt;=DATA!$R$28),(3/q_v)*(DATA!$Q$28/$B22),IF(AND($B22&gt;=DATA!$R$28,$B22&lt;=4),(3/q_v)*(DATA!$Q$28*DATA!$R$28/($B22^2)))))))</f>
        <v>0.17657999999999993</v>
      </c>
    </row>
    <row r="23" spans="1:18" x14ac:dyDescent="0.25">
      <c r="A23" s="19"/>
      <c r="B23" s="16">
        <f t="shared" si="8"/>
        <v>0.95000000000000029</v>
      </c>
      <c r="C23" s="50">
        <f t="shared" si="0"/>
        <v>0.65789473684210509</v>
      </c>
      <c r="D23" s="51">
        <f t="shared" si="1"/>
        <v>0.2</v>
      </c>
      <c r="E23" s="51">
        <f t="shared" si="2"/>
        <v>0.32894736842105254</v>
      </c>
      <c r="F23" s="52">
        <f t="shared" si="3"/>
        <v>0.1</v>
      </c>
      <c r="G23" s="50">
        <f t="shared" si="4"/>
        <v>1.5489473684210522</v>
      </c>
      <c r="H23" s="51">
        <f t="shared" si="5"/>
        <v>0.47088000000000002</v>
      </c>
      <c r="I23" s="51">
        <f t="shared" si="6"/>
        <v>0.77447368421052609</v>
      </c>
      <c r="J23" s="52">
        <f t="shared" si="7"/>
        <v>0.23544000000000001</v>
      </c>
      <c r="K23" s="50">
        <f>IF(AND($B23&gt;=0,$B23&lt;=DATA!$P$28),(1+($B23/DATA!$P$28)*(3*n-1)),IF(AND($B23&gt;=DATA!$P$28,$B23&lt;=DATA!$Q$28),n*3,IF(AND($B23&gt;=DATA!$Q$28,$B23&lt;=DATA!$R$28),n*3*(DATA!$Q$28/$B23),IF(AND($B23&gt;=DATA!$R$28,$B23&lt;=4),3*n*(DATA!$Q$28*DATA!$R$28/$B23^2)))))</f>
        <v>0.4736842105263156</v>
      </c>
      <c r="L23" s="51">
        <f>MAX(0.2,IF(AND($B23&gt;=0,$B23&lt;=DATA!$P$28),((2/3)+($B23/DATA!$P$28)*((3/q_v)-(2/3))),IF(AND($B23&gt;=DATA!$P$28,$B23&lt;=DATA!$Q$28),3/q_v,IF(AND($B23&gt;=DATA!$Q$28,$B23&lt;=DATA!$R$28),(3/q_v)*(DATA!$Q$28/$B23),IF(AND($B23&gt;=DATA!$R$28,$B23&lt;=4),(3/q_v)*(DATA!$Q$28*DATA!$R$28/($B23^2)))))))</f>
        <v>0.3157894736842104</v>
      </c>
      <c r="M23" s="51">
        <f>v*IF(AND($B23&gt;=0,$B23&lt;=DATA!$P$28),(1+($B23/DATA!$P$28)*(3*n-1)),IF(AND($B23&gt;=DATA!$P$28,$B23&lt;=DATA!$Q$28),n*3,IF(AND($B23&gt;=DATA!$Q$28,$B23&lt;=DATA!$R$28),n*3*(DATA!$Q$28/$B23),IF(AND($B23&gt;=DATA!$R$28,$B23&lt;=4),3*n*(DATA!$Q$28*DATA!$R$28/$B23^2)))))</f>
        <v>0.2368421052631578</v>
      </c>
      <c r="N23" s="52">
        <f>MAX(0.2,v*IF(AND($B23&gt;=0,$B23&lt;=DATA!$P$28),((2/3)+($B23/DATA!$P$28)*((3/q_v)-(2/3))),IF(AND($B23&gt;=DATA!$P$28,$B23&lt;=DATA!$Q$28),3/q_v,IF(AND($B23&gt;=DATA!$Q$28,$B23&lt;=DATA!$R$28),(3/q_v)*(DATA!$Q$28/$B23),IF(AND($B23&gt;=DATA!$R$28,$B23&lt;=4),(3/q_v)*(DATA!$Q$28*DATA!$R$28/($B23^2)))))))</f>
        <v>0.2</v>
      </c>
      <c r="O23" s="50">
        <f>g*avg*IF(AND($B23&gt;=0,$B23&lt;=DATA!$P$28),(1+($B23/DATA!$P$28)*(3*n-1)),IF(AND($B23&gt;=DATA!$P$28,$B23&lt;=DATA!$Q$28),n*3,IF(AND($B23&gt;=DATA!$Q$28,$B23&lt;=DATA!$R$28),n*3*(DATA!$Q$28/$B23),IF(AND($B23&gt;=DATA!$R$28,$B23&lt;=4),3*n*(DATA!$Q$28*DATA!$R$28/$B23^2)))))</f>
        <v>0.50185894736842085</v>
      </c>
      <c r="P23" s="51">
        <f>MAX(0.2*g*avg,g*avg*IF(AND($B23&gt;=0,$B23&lt;=DATA!$P$28),((2/3)+($B23/DATA!$P$28)*((3/q_v)-(2/3))),IF(AND($B23&gt;=DATA!$P$28,$B23&lt;=DATA!$Q$28),3/q_v,IF(AND($B23&gt;=DATA!$Q$28,$B23&lt;=DATA!$R$28),(3/q_v)*(DATA!$Q$28/$B23),IF(AND($B23&gt;=DATA!$R$28,$B23&lt;=4),(3/q_v)*(DATA!$Q$28*DATA!$R$28/($B23^2)))))))</f>
        <v>0.33457263157894723</v>
      </c>
      <c r="Q23" s="51">
        <f>g*avg*v*IF(AND($B23&gt;=0,$B23&lt;=DATA!$P$28),(1+($B23/DATA!$P$28)*(3*n-1)),IF(AND($B23&gt;=DATA!$P$28,$B23&lt;=DATA!$Q$28),n*3,IF(AND($B23&gt;=DATA!$Q$28,$B23&lt;=DATA!$R$28),n*3*(DATA!$Q$28/$B23),IF(AND($B23&gt;=DATA!$R$28,$B23&lt;=4),3*n*(DATA!$Q$28*DATA!$R$28/$B23^2)))))</f>
        <v>0.25092947368421042</v>
      </c>
      <c r="R23" s="52">
        <f>MAX(0.2*g*avg*v,g*avg*v*IF(AND($B23&gt;=0,$B23&lt;=DATA!$P$28),((2/3)+($B23/DATA!$P$28)*((3/q_v)-(2/3))),IF(AND($B23&gt;=DATA!$P$28,$B23&lt;=DATA!$Q$28),3/q_v,IF(AND($B23&gt;=DATA!$Q$28,$B23&lt;=DATA!$R$28),(3/q_v)*(DATA!$Q$28/$B23),IF(AND($B23&gt;=DATA!$R$28,$B23&lt;=4),(3/q_v)*(DATA!$Q$28*DATA!$R$28/($B23^2)))))))</f>
        <v>0.16728631578947362</v>
      </c>
    </row>
    <row r="24" spans="1:18" x14ac:dyDescent="0.25">
      <c r="A24" s="19"/>
      <c r="B24" s="16">
        <f t="shared" si="8"/>
        <v>1.0000000000000002</v>
      </c>
      <c r="C24" s="50">
        <f t="shared" si="0"/>
        <v>0.62499999999999989</v>
      </c>
      <c r="D24" s="51">
        <f t="shared" si="1"/>
        <v>0.2</v>
      </c>
      <c r="E24" s="51">
        <f t="shared" si="2"/>
        <v>0.31249999999999994</v>
      </c>
      <c r="F24" s="52">
        <f t="shared" si="3"/>
        <v>0.1</v>
      </c>
      <c r="G24" s="50">
        <f t="shared" si="4"/>
        <v>1.4714999999999998</v>
      </c>
      <c r="H24" s="51">
        <f t="shared" si="5"/>
        <v>0.47088000000000002</v>
      </c>
      <c r="I24" s="51">
        <f t="shared" si="6"/>
        <v>0.7357499999999999</v>
      </c>
      <c r="J24" s="52">
        <f t="shared" si="7"/>
        <v>0.23544000000000001</v>
      </c>
      <c r="K24" s="50">
        <f>IF(AND($B24&gt;=0,$B24&lt;=DATA!$P$28),(1+($B24/DATA!$P$28)*(3*n-1)),IF(AND($B24&gt;=DATA!$P$28,$B24&lt;=DATA!$Q$28),n*3,IF(AND($B24&gt;=DATA!$Q$28,$B24&lt;=DATA!$R$28),n*3*(DATA!$Q$28/$B24),IF(AND($B24&gt;=DATA!$R$28,$B24&lt;=4),3*n*(DATA!$Q$28*DATA!$R$28/$B24^2)))))</f>
        <v>0.4499999999999999</v>
      </c>
      <c r="L24" s="51">
        <f>MAX(0.2,IF(AND($B24&gt;=0,$B24&lt;=DATA!$P$28),((2/3)+($B24/DATA!$P$28)*((3/q_v)-(2/3))),IF(AND($B24&gt;=DATA!$P$28,$B24&lt;=DATA!$Q$28),3/q_v,IF(AND($B24&gt;=DATA!$Q$28,$B24&lt;=DATA!$R$28),(3/q_v)*(DATA!$Q$28/$B24),IF(AND($B24&gt;=DATA!$R$28,$B24&lt;=4),(3/q_v)*(DATA!$Q$28*DATA!$R$28/($B24^2)))))))</f>
        <v>0.29999999999999993</v>
      </c>
      <c r="M24" s="51">
        <f>v*IF(AND($B24&gt;=0,$B24&lt;=DATA!$P$28),(1+($B24/DATA!$P$28)*(3*n-1)),IF(AND($B24&gt;=DATA!$P$28,$B24&lt;=DATA!$Q$28),n*3,IF(AND($B24&gt;=DATA!$Q$28,$B24&lt;=DATA!$R$28),n*3*(DATA!$Q$28/$B24),IF(AND($B24&gt;=DATA!$R$28,$B24&lt;=4),3*n*(DATA!$Q$28*DATA!$R$28/$B24^2)))))</f>
        <v>0.22499999999999995</v>
      </c>
      <c r="N24" s="52">
        <f>MAX(0.2,v*IF(AND($B24&gt;=0,$B24&lt;=DATA!$P$28),((2/3)+($B24/DATA!$P$28)*((3/q_v)-(2/3))),IF(AND($B24&gt;=DATA!$P$28,$B24&lt;=DATA!$Q$28),3/q_v,IF(AND($B24&gt;=DATA!$Q$28,$B24&lt;=DATA!$R$28),(3/q_v)*(DATA!$Q$28/$B24),IF(AND($B24&gt;=DATA!$R$28,$B24&lt;=4),(3/q_v)*(DATA!$Q$28*DATA!$R$28/($B24^2)))))))</f>
        <v>0.2</v>
      </c>
      <c r="O24" s="50">
        <f>g*avg*IF(AND($B24&gt;=0,$B24&lt;=DATA!$P$28),(1+($B24/DATA!$P$28)*(3*n-1)),IF(AND($B24&gt;=DATA!$P$28,$B24&lt;=DATA!$Q$28),n*3,IF(AND($B24&gt;=DATA!$Q$28,$B24&lt;=DATA!$R$28),n*3*(DATA!$Q$28/$B24),IF(AND($B24&gt;=DATA!$R$28,$B24&lt;=4),3*n*(DATA!$Q$28*DATA!$R$28/$B24^2)))))</f>
        <v>0.47676599999999986</v>
      </c>
      <c r="P24" s="51">
        <f>MAX(0.2*g*avg,g*avg*IF(AND($B24&gt;=0,$B24&lt;=DATA!$P$28),((2/3)+($B24/DATA!$P$28)*((3/q_v)-(2/3))),IF(AND($B24&gt;=DATA!$P$28,$B24&lt;=DATA!$Q$28),3/q_v,IF(AND($B24&gt;=DATA!$Q$28,$B24&lt;=DATA!$R$28),(3/q_v)*(DATA!$Q$28/$B24),IF(AND($B24&gt;=DATA!$R$28,$B24&lt;=4),(3/q_v)*(DATA!$Q$28*DATA!$R$28/($B24^2)))))))</f>
        <v>0.3178439999999999</v>
      </c>
      <c r="Q24" s="51">
        <f>g*avg*v*IF(AND($B24&gt;=0,$B24&lt;=DATA!$P$28),(1+($B24/DATA!$P$28)*(3*n-1)),IF(AND($B24&gt;=DATA!$P$28,$B24&lt;=DATA!$Q$28),n*3,IF(AND($B24&gt;=DATA!$Q$28,$B24&lt;=DATA!$R$28),n*3*(DATA!$Q$28/$B24),IF(AND($B24&gt;=DATA!$R$28,$B24&lt;=4),3*n*(DATA!$Q$28*DATA!$R$28/$B24^2)))))</f>
        <v>0.23838299999999993</v>
      </c>
      <c r="R24" s="52">
        <f>MAX(0.2*g*avg*v,g*avg*v*IF(AND($B24&gt;=0,$B24&lt;=DATA!$P$28),((2/3)+($B24/DATA!$P$28)*((3/q_v)-(2/3))),IF(AND($B24&gt;=DATA!$P$28,$B24&lt;=DATA!$Q$28),3/q_v,IF(AND($B24&gt;=DATA!$Q$28,$B24&lt;=DATA!$R$28),(3/q_v)*(DATA!$Q$28/$B24),IF(AND($B24&gt;=DATA!$R$28,$B24&lt;=4),(3/q_v)*(DATA!$Q$28*DATA!$R$28/($B24^2)))))))</f>
        <v>0.15892199999999995</v>
      </c>
    </row>
    <row r="25" spans="1:18" x14ac:dyDescent="0.25">
      <c r="A25" s="19"/>
      <c r="B25" s="16">
        <f t="shared" si="8"/>
        <v>1.0500000000000003</v>
      </c>
      <c r="C25" s="50">
        <f t="shared" si="0"/>
        <v>0.59523809523809512</v>
      </c>
      <c r="D25" s="51">
        <f t="shared" si="1"/>
        <v>0.2</v>
      </c>
      <c r="E25" s="51">
        <f t="shared" si="2"/>
        <v>0.29761904761904756</v>
      </c>
      <c r="F25" s="52">
        <f t="shared" si="3"/>
        <v>0.1</v>
      </c>
      <c r="G25" s="50">
        <f t="shared" si="4"/>
        <v>1.4014285714285712</v>
      </c>
      <c r="H25" s="51">
        <f t="shared" si="5"/>
        <v>0.47088000000000002</v>
      </c>
      <c r="I25" s="51">
        <f t="shared" si="6"/>
        <v>0.70071428571428562</v>
      </c>
      <c r="J25" s="52">
        <f t="shared" si="7"/>
        <v>0.23544000000000001</v>
      </c>
      <c r="K25" s="50">
        <f>IF(AND($B25&gt;=0,$B25&lt;=DATA!$P$28),(1+($B25/DATA!$P$28)*(3*n-1)),IF(AND($B25&gt;=DATA!$P$28,$B25&lt;=DATA!$Q$28),n*3,IF(AND($B25&gt;=DATA!$Q$28,$B25&lt;=DATA!$R$28),n*3*(DATA!$Q$28/$B25),IF(AND($B25&gt;=DATA!$R$28,$B25&lt;=4),3*n*(DATA!$Q$28*DATA!$R$28/$B25^2)))))</f>
        <v>0.40816326530612224</v>
      </c>
      <c r="L25" s="51">
        <f>MAX(0.2,IF(AND($B25&gt;=0,$B25&lt;=DATA!$P$28),((2/3)+($B25/DATA!$P$28)*((3/q_v)-(2/3))),IF(AND($B25&gt;=DATA!$P$28,$B25&lt;=DATA!$Q$28),3/q_v,IF(AND($B25&gt;=DATA!$Q$28,$B25&lt;=DATA!$R$28),(3/q_v)*(DATA!$Q$28/$B25),IF(AND($B25&gt;=DATA!$R$28,$B25&lt;=4),(3/q_v)*(DATA!$Q$28*DATA!$R$28/($B25^2)))))))</f>
        <v>0.27210884353741482</v>
      </c>
      <c r="M25" s="51">
        <f>v*IF(AND($B25&gt;=0,$B25&lt;=DATA!$P$28),(1+($B25/DATA!$P$28)*(3*n-1)),IF(AND($B25&gt;=DATA!$P$28,$B25&lt;=DATA!$Q$28),n*3,IF(AND($B25&gt;=DATA!$Q$28,$B25&lt;=DATA!$R$28),n*3*(DATA!$Q$28/$B25),IF(AND($B25&gt;=DATA!$R$28,$B25&lt;=4),3*n*(DATA!$Q$28*DATA!$R$28/$B25^2)))))</f>
        <v>0.20408163265306112</v>
      </c>
      <c r="N25" s="52">
        <f>MAX(0.2,v*IF(AND($B25&gt;=0,$B25&lt;=DATA!$P$28),((2/3)+($B25/DATA!$P$28)*((3/q_v)-(2/3))),IF(AND($B25&gt;=DATA!$P$28,$B25&lt;=DATA!$Q$28),3/q_v,IF(AND($B25&gt;=DATA!$Q$28,$B25&lt;=DATA!$R$28),(3/q_v)*(DATA!$Q$28/$B25),IF(AND($B25&gt;=DATA!$R$28,$B25&lt;=4),(3/q_v)*(DATA!$Q$28*DATA!$R$28/($B25^2)))))))</f>
        <v>0.2</v>
      </c>
      <c r="O25" s="50">
        <f>g*avg*IF(AND($B25&gt;=0,$B25&lt;=DATA!$P$28),(1+($B25/DATA!$P$28)*(3*n-1)),IF(AND($B25&gt;=DATA!$P$28,$B25&lt;=DATA!$Q$28),n*3,IF(AND($B25&gt;=DATA!$Q$28,$B25&lt;=DATA!$R$28),n*3*(DATA!$Q$28/$B25),IF(AND($B25&gt;=DATA!$R$28,$B25&lt;=4),3*n*(DATA!$Q$28*DATA!$R$28/$B25^2)))))</f>
        <v>0.43244081632653036</v>
      </c>
      <c r="P25" s="51">
        <f>MAX(0.2*g*avg,g*avg*IF(AND($B25&gt;=0,$B25&lt;=DATA!$P$28),((2/3)+($B25/DATA!$P$28)*((3/q_v)-(2/3))),IF(AND($B25&gt;=DATA!$P$28,$B25&lt;=DATA!$Q$28),3/q_v,IF(AND($B25&gt;=DATA!$Q$28,$B25&lt;=DATA!$R$28),(3/q_v)*(DATA!$Q$28/$B25),IF(AND($B25&gt;=DATA!$R$28,$B25&lt;=4),(3/q_v)*(DATA!$Q$28*DATA!$R$28/($B25^2)))))))</f>
        <v>0.28829387755102026</v>
      </c>
      <c r="Q25" s="51">
        <f>g*avg*v*IF(AND($B25&gt;=0,$B25&lt;=DATA!$P$28),(1+($B25/DATA!$P$28)*(3*n-1)),IF(AND($B25&gt;=DATA!$P$28,$B25&lt;=DATA!$Q$28),n*3,IF(AND($B25&gt;=DATA!$Q$28,$B25&lt;=DATA!$R$28),n*3*(DATA!$Q$28/$B25),IF(AND($B25&gt;=DATA!$R$28,$B25&lt;=4),3*n*(DATA!$Q$28*DATA!$R$28/$B25^2)))))</f>
        <v>0.21622040816326518</v>
      </c>
      <c r="R25" s="52">
        <f>MAX(0.2*g*avg*v,g*avg*v*IF(AND($B25&gt;=0,$B25&lt;=DATA!$P$28),((2/3)+($B25/DATA!$P$28)*((3/q_v)-(2/3))),IF(AND($B25&gt;=DATA!$P$28,$B25&lt;=DATA!$Q$28),3/q_v,IF(AND($B25&gt;=DATA!$Q$28,$B25&lt;=DATA!$R$28),(3/q_v)*(DATA!$Q$28/$B25),IF(AND($B25&gt;=DATA!$R$28,$B25&lt;=4),(3/q_v)*(DATA!$Q$28*DATA!$R$28/($B25^2)))))))</f>
        <v>0.14414693877551013</v>
      </c>
    </row>
    <row r="26" spans="1:18" x14ac:dyDescent="0.25">
      <c r="A26" s="29"/>
      <c r="B26" s="16">
        <f t="shared" si="8"/>
        <v>1.1000000000000003</v>
      </c>
      <c r="C26" s="50">
        <f t="shared" si="0"/>
        <v>0.56818181818181801</v>
      </c>
      <c r="D26" s="51">
        <f t="shared" si="1"/>
        <v>0.2</v>
      </c>
      <c r="E26" s="51">
        <f t="shared" si="2"/>
        <v>0.28409090909090901</v>
      </c>
      <c r="F26" s="52">
        <f t="shared" si="3"/>
        <v>0.1</v>
      </c>
      <c r="G26" s="50">
        <f t="shared" si="4"/>
        <v>1.3377272727272724</v>
      </c>
      <c r="H26" s="51">
        <f t="shared" si="5"/>
        <v>0.47088000000000002</v>
      </c>
      <c r="I26" s="51">
        <f t="shared" si="6"/>
        <v>0.66886363636363622</v>
      </c>
      <c r="J26" s="52">
        <f t="shared" si="7"/>
        <v>0.23544000000000001</v>
      </c>
      <c r="K26" s="50">
        <f>IF(AND($B26&gt;=0,$B26&lt;=DATA!$P$28),(1+($B26/DATA!$P$28)*(3*n-1)),IF(AND($B26&gt;=DATA!$P$28,$B26&lt;=DATA!$Q$28),n*3,IF(AND($B26&gt;=DATA!$Q$28,$B26&lt;=DATA!$R$28),n*3*(DATA!$Q$28/$B26),IF(AND($B26&gt;=DATA!$R$28,$B26&lt;=4),3*n*(DATA!$Q$28*DATA!$R$28/$B26^2)))))</f>
        <v>0.37190082644628081</v>
      </c>
      <c r="L26" s="51">
        <f>MAX(0.2,IF(AND($B26&gt;=0,$B26&lt;=DATA!$P$28),((2/3)+($B26/DATA!$P$28)*((3/q_v)-(2/3))),IF(AND($B26&gt;=DATA!$P$28,$B26&lt;=DATA!$Q$28),3/q_v,IF(AND($B26&gt;=DATA!$Q$28,$B26&lt;=DATA!$R$28),(3/q_v)*(DATA!$Q$28/$B26),IF(AND($B26&gt;=DATA!$R$28,$B26&lt;=4),(3/q_v)*(DATA!$Q$28*DATA!$R$28/($B26^2)))))))</f>
        <v>0.24793388429752053</v>
      </c>
      <c r="M26" s="51">
        <f>v*IF(AND($B26&gt;=0,$B26&lt;=DATA!$P$28),(1+($B26/DATA!$P$28)*(3*n-1)),IF(AND($B26&gt;=DATA!$P$28,$B26&lt;=DATA!$Q$28),n*3,IF(AND($B26&gt;=DATA!$Q$28,$B26&lt;=DATA!$R$28),n*3*(DATA!$Q$28/$B26),IF(AND($B26&gt;=DATA!$R$28,$B26&lt;=4),3*n*(DATA!$Q$28*DATA!$R$28/$B26^2)))))</f>
        <v>0.1859504132231404</v>
      </c>
      <c r="N26" s="52">
        <f>MAX(0.2,v*IF(AND($B26&gt;=0,$B26&lt;=DATA!$P$28),((2/3)+($B26/DATA!$P$28)*((3/q_v)-(2/3))),IF(AND($B26&gt;=DATA!$P$28,$B26&lt;=DATA!$Q$28),3/q_v,IF(AND($B26&gt;=DATA!$Q$28,$B26&lt;=DATA!$R$28),(3/q_v)*(DATA!$Q$28/$B26),IF(AND($B26&gt;=DATA!$R$28,$B26&lt;=4),(3/q_v)*(DATA!$Q$28*DATA!$R$28/($B26^2)))))))</f>
        <v>0.2</v>
      </c>
      <c r="O26" s="50">
        <f>g*avg*IF(AND($B26&gt;=0,$B26&lt;=DATA!$P$28),(1+($B26/DATA!$P$28)*(3*n-1)),IF(AND($B26&gt;=DATA!$P$28,$B26&lt;=DATA!$Q$28),n*3,IF(AND($B26&gt;=DATA!$Q$28,$B26&lt;=DATA!$R$28),n*3*(DATA!$Q$28/$B26),IF(AND($B26&gt;=DATA!$R$28,$B26&lt;=4),3*n*(DATA!$Q$28*DATA!$R$28/$B26^2)))))</f>
        <v>0.39402148760330558</v>
      </c>
      <c r="P26" s="51">
        <f>MAX(0.2*g*avg,g*avg*IF(AND($B26&gt;=0,$B26&lt;=DATA!$P$28),((2/3)+($B26/DATA!$P$28)*((3/q_v)-(2/3))),IF(AND($B26&gt;=DATA!$P$28,$B26&lt;=DATA!$Q$28),3/q_v,IF(AND($B26&gt;=DATA!$Q$28,$B26&lt;=DATA!$R$28),(3/q_v)*(DATA!$Q$28/$B26),IF(AND($B26&gt;=DATA!$R$28,$B26&lt;=4),(3/q_v)*(DATA!$Q$28*DATA!$R$28/($B26^2)))))))</f>
        <v>0.26268099173553705</v>
      </c>
      <c r="Q26" s="51">
        <f>g*avg*v*IF(AND($B26&gt;=0,$B26&lt;=DATA!$P$28),(1+($B26/DATA!$P$28)*(3*n-1)),IF(AND($B26&gt;=DATA!$P$28,$B26&lt;=DATA!$Q$28),n*3,IF(AND($B26&gt;=DATA!$Q$28,$B26&lt;=DATA!$R$28),n*3*(DATA!$Q$28/$B26),IF(AND($B26&gt;=DATA!$R$28,$B26&lt;=4),3*n*(DATA!$Q$28*DATA!$R$28/$B26^2)))))</f>
        <v>0.19701074380165279</v>
      </c>
      <c r="R26" s="52">
        <f>MAX(0.2*g*avg*v,g*avg*v*IF(AND($B26&gt;=0,$B26&lt;=DATA!$P$28),((2/3)+($B26/DATA!$P$28)*((3/q_v)-(2/3))),IF(AND($B26&gt;=DATA!$P$28,$B26&lt;=DATA!$Q$28),3/q_v,IF(AND($B26&gt;=DATA!$Q$28,$B26&lt;=DATA!$R$28),(3/q_v)*(DATA!$Q$28/$B26),IF(AND($B26&gt;=DATA!$R$28,$B26&lt;=4),(3/q_v)*(DATA!$Q$28*DATA!$R$28/($B26^2)))))))</f>
        <v>0.13134049586776853</v>
      </c>
    </row>
    <row r="27" spans="1:18" x14ac:dyDescent="0.25">
      <c r="A27" s="19"/>
      <c r="B27" s="16">
        <f t="shared" si="8"/>
        <v>1.1500000000000004</v>
      </c>
      <c r="C27" s="50">
        <f t="shared" si="0"/>
        <v>0.54347826086956508</v>
      </c>
      <c r="D27" s="51">
        <f t="shared" si="1"/>
        <v>0.2</v>
      </c>
      <c r="E27" s="51">
        <f t="shared" si="2"/>
        <v>0.27173913043478254</v>
      </c>
      <c r="F27" s="52">
        <f t="shared" si="3"/>
        <v>0.1</v>
      </c>
      <c r="G27" s="50">
        <f t="shared" si="4"/>
        <v>1.2795652173913041</v>
      </c>
      <c r="H27" s="51">
        <f t="shared" si="5"/>
        <v>0.47088000000000002</v>
      </c>
      <c r="I27" s="51">
        <f t="shared" si="6"/>
        <v>0.63978260869565207</v>
      </c>
      <c r="J27" s="52">
        <f t="shared" si="7"/>
        <v>0.23544000000000001</v>
      </c>
      <c r="K27" s="50">
        <f>IF(AND($B27&gt;=0,$B27&lt;=DATA!$P$28),(1+($B27/DATA!$P$28)*(3*n-1)),IF(AND($B27&gt;=DATA!$P$28,$B27&lt;=DATA!$Q$28),n*3,IF(AND($B27&gt;=DATA!$Q$28,$B27&lt;=DATA!$R$28),n*3*(DATA!$Q$28/$B27),IF(AND($B27&gt;=DATA!$R$28,$B27&lt;=4),3*n*(DATA!$Q$28*DATA!$R$28/$B27^2)))))</f>
        <v>0.34026465028355363</v>
      </c>
      <c r="L27" s="51">
        <f>MAX(0.2,IF(AND($B27&gt;=0,$B27&lt;=DATA!$P$28),((2/3)+($B27/DATA!$P$28)*((3/q_v)-(2/3))),IF(AND($B27&gt;=DATA!$P$28,$B27&lt;=DATA!$Q$28),3/q_v,IF(AND($B27&gt;=DATA!$Q$28,$B27&lt;=DATA!$R$28),(3/q_v)*(DATA!$Q$28/$B27),IF(AND($B27&gt;=DATA!$R$28,$B27&lt;=4),(3/q_v)*(DATA!$Q$28*DATA!$R$28/($B27^2)))))))</f>
        <v>0.22684310018903575</v>
      </c>
      <c r="M27" s="51">
        <f>v*IF(AND($B27&gt;=0,$B27&lt;=DATA!$P$28),(1+($B27/DATA!$P$28)*(3*n-1)),IF(AND($B27&gt;=DATA!$P$28,$B27&lt;=DATA!$Q$28),n*3,IF(AND($B27&gt;=DATA!$Q$28,$B27&lt;=DATA!$R$28),n*3*(DATA!$Q$28/$B27),IF(AND($B27&gt;=DATA!$R$28,$B27&lt;=4),3*n*(DATA!$Q$28*DATA!$R$28/$B27^2)))))</f>
        <v>0.17013232514177681</v>
      </c>
      <c r="N27" s="52">
        <f>MAX(0.2,v*IF(AND($B27&gt;=0,$B27&lt;=DATA!$P$28),((2/3)+($B27/DATA!$P$28)*((3/q_v)-(2/3))),IF(AND($B27&gt;=DATA!$P$28,$B27&lt;=DATA!$Q$28),3/q_v,IF(AND($B27&gt;=DATA!$Q$28,$B27&lt;=DATA!$R$28),(3/q_v)*(DATA!$Q$28/$B27),IF(AND($B27&gt;=DATA!$R$28,$B27&lt;=4),(3/q_v)*(DATA!$Q$28*DATA!$R$28/($B27^2)))))))</f>
        <v>0.2</v>
      </c>
      <c r="O27" s="50">
        <f>g*avg*IF(AND($B27&gt;=0,$B27&lt;=DATA!$P$28),(1+($B27/DATA!$P$28)*(3*n-1)),IF(AND($B27&gt;=DATA!$P$28,$B27&lt;=DATA!$Q$28),n*3,IF(AND($B27&gt;=DATA!$Q$28,$B27&lt;=DATA!$R$28),n*3*(DATA!$Q$28/$B27),IF(AND($B27&gt;=DATA!$R$28,$B27&lt;=4),3*n*(DATA!$Q$28*DATA!$R$28/$B27^2)))))</f>
        <v>0.36050359168241941</v>
      </c>
      <c r="P27" s="51">
        <f>MAX(0.2*g*avg,g*avg*IF(AND($B27&gt;=0,$B27&lt;=DATA!$P$28),((2/3)+($B27/DATA!$P$28)*((3/q_v)-(2/3))),IF(AND($B27&gt;=DATA!$P$28,$B27&lt;=DATA!$Q$28),3/q_v,IF(AND($B27&gt;=DATA!$Q$28,$B27&lt;=DATA!$R$28),(3/q_v)*(DATA!$Q$28/$B27),IF(AND($B27&gt;=DATA!$R$28,$B27&lt;=4),(3/q_v)*(DATA!$Q$28*DATA!$R$28/($B27^2)))))))</f>
        <v>0.24033572778827958</v>
      </c>
      <c r="Q27" s="51">
        <f>g*avg*v*IF(AND($B27&gt;=0,$B27&lt;=DATA!$P$28),(1+($B27/DATA!$P$28)*(3*n-1)),IF(AND($B27&gt;=DATA!$P$28,$B27&lt;=DATA!$Q$28),n*3,IF(AND($B27&gt;=DATA!$Q$28,$B27&lt;=DATA!$R$28),n*3*(DATA!$Q$28/$B27),IF(AND($B27&gt;=DATA!$R$28,$B27&lt;=4),3*n*(DATA!$Q$28*DATA!$R$28/$B27^2)))))</f>
        <v>0.18025179584120971</v>
      </c>
      <c r="R27" s="52">
        <f>MAX(0.2*g*avg*v,g*avg*v*IF(AND($B27&gt;=0,$B27&lt;=DATA!$P$28),((2/3)+($B27/DATA!$P$28)*((3/q_v)-(2/3))),IF(AND($B27&gt;=DATA!$P$28,$B27&lt;=DATA!$Q$28),3/q_v,IF(AND($B27&gt;=DATA!$Q$28,$B27&lt;=DATA!$R$28),(3/q_v)*(DATA!$Q$28/$B27),IF(AND($B27&gt;=DATA!$R$28,$B27&lt;=4),(3/q_v)*(DATA!$Q$28*DATA!$R$28/($B27^2)))))))</f>
        <v>0.12016786389413979</v>
      </c>
    </row>
    <row r="28" spans="1:18" x14ac:dyDescent="0.25">
      <c r="A28" s="19"/>
      <c r="B28" s="16">
        <f t="shared" si="8"/>
        <v>1.2000000000000004</v>
      </c>
      <c r="C28" s="50">
        <f t="shared" si="0"/>
        <v>0.52083333333333315</v>
      </c>
      <c r="D28" s="51">
        <f t="shared" si="1"/>
        <v>0.2</v>
      </c>
      <c r="E28" s="51">
        <f t="shared" si="2"/>
        <v>0.26041666666666657</v>
      </c>
      <c r="F28" s="52">
        <f t="shared" si="3"/>
        <v>0.1</v>
      </c>
      <c r="G28" s="50">
        <f t="shared" si="4"/>
        <v>1.2262499999999996</v>
      </c>
      <c r="H28" s="51">
        <f t="shared" si="5"/>
        <v>0.47088000000000002</v>
      </c>
      <c r="I28" s="51">
        <f t="shared" si="6"/>
        <v>0.61312499999999981</v>
      </c>
      <c r="J28" s="52">
        <f t="shared" si="7"/>
        <v>0.23544000000000001</v>
      </c>
      <c r="K28" s="50">
        <f>IF(AND($B28&gt;=0,$B28&lt;=DATA!$P$28),(1+($B28/DATA!$P$28)*(3*n-1)),IF(AND($B28&gt;=DATA!$P$28,$B28&lt;=DATA!$Q$28),n*3,IF(AND($B28&gt;=DATA!$Q$28,$B28&lt;=DATA!$R$28),n*3*(DATA!$Q$28/$B28),IF(AND($B28&gt;=DATA!$R$28,$B28&lt;=4),3*n*(DATA!$Q$28*DATA!$R$28/$B28^2)))))</f>
        <v>0.31249999999999978</v>
      </c>
      <c r="L28" s="51">
        <f>MAX(0.2,IF(AND($B28&gt;=0,$B28&lt;=DATA!$P$28),((2/3)+($B28/DATA!$P$28)*((3/q_v)-(2/3))),IF(AND($B28&gt;=DATA!$P$28,$B28&lt;=DATA!$Q$28),3/q_v,IF(AND($B28&gt;=DATA!$Q$28,$B28&lt;=DATA!$R$28),(3/q_v)*(DATA!$Q$28/$B28),IF(AND($B28&gt;=DATA!$R$28,$B28&lt;=4),(3/q_v)*(DATA!$Q$28*DATA!$R$28/($B28^2)))))))</f>
        <v>0.20833333333333318</v>
      </c>
      <c r="M28" s="51">
        <f>v*IF(AND($B28&gt;=0,$B28&lt;=DATA!$P$28),(1+($B28/DATA!$P$28)*(3*n-1)),IF(AND($B28&gt;=DATA!$P$28,$B28&lt;=DATA!$Q$28),n*3,IF(AND($B28&gt;=DATA!$Q$28,$B28&lt;=DATA!$R$28),n*3*(DATA!$Q$28/$B28),IF(AND($B28&gt;=DATA!$R$28,$B28&lt;=4),3*n*(DATA!$Q$28*DATA!$R$28/$B28^2)))))</f>
        <v>0.15624999999999989</v>
      </c>
      <c r="N28" s="52">
        <f>MAX(0.2,v*IF(AND($B28&gt;=0,$B28&lt;=DATA!$P$28),((2/3)+($B28/DATA!$P$28)*((3/q_v)-(2/3))),IF(AND($B28&gt;=DATA!$P$28,$B28&lt;=DATA!$Q$28),3/q_v,IF(AND($B28&gt;=DATA!$Q$28,$B28&lt;=DATA!$R$28),(3/q_v)*(DATA!$Q$28/$B28),IF(AND($B28&gt;=DATA!$R$28,$B28&lt;=4),(3/q_v)*(DATA!$Q$28*DATA!$R$28/($B28^2)))))))</f>
        <v>0.2</v>
      </c>
      <c r="O28" s="50">
        <f>g*avg*IF(AND($B28&gt;=0,$B28&lt;=DATA!$P$28),(1+($B28/DATA!$P$28)*(3*n-1)),IF(AND($B28&gt;=DATA!$P$28,$B28&lt;=DATA!$Q$28),n*3,IF(AND($B28&gt;=DATA!$Q$28,$B28&lt;=DATA!$R$28),n*3*(DATA!$Q$28/$B28),IF(AND($B28&gt;=DATA!$R$28,$B28&lt;=4),3*n*(DATA!$Q$28*DATA!$R$28/$B28^2)))))</f>
        <v>0.33108749999999976</v>
      </c>
      <c r="P28" s="51">
        <f>MAX(0.2*g*avg,g*avg*IF(AND($B28&gt;=0,$B28&lt;=DATA!$P$28),((2/3)+($B28/DATA!$P$28)*((3/q_v)-(2/3))),IF(AND($B28&gt;=DATA!$P$28,$B28&lt;=DATA!$Q$28),3/q_v,IF(AND($B28&gt;=DATA!$Q$28,$B28&lt;=DATA!$R$28),(3/q_v)*(DATA!$Q$28/$B28),IF(AND($B28&gt;=DATA!$R$28,$B28&lt;=4),(3/q_v)*(DATA!$Q$28*DATA!$R$28/($B28^2)))))))</f>
        <v>0.22072499999999984</v>
      </c>
      <c r="Q28" s="51">
        <f>g*avg*v*IF(AND($B28&gt;=0,$B28&lt;=DATA!$P$28),(1+($B28/DATA!$P$28)*(3*n-1)),IF(AND($B28&gt;=DATA!$P$28,$B28&lt;=DATA!$Q$28),n*3,IF(AND($B28&gt;=DATA!$Q$28,$B28&lt;=DATA!$R$28),n*3*(DATA!$Q$28/$B28),IF(AND($B28&gt;=DATA!$R$28,$B28&lt;=4),3*n*(DATA!$Q$28*DATA!$R$28/$B28^2)))))</f>
        <v>0.16554374999999988</v>
      </c>
      <c r="R28" s="52">
        <f>MAX(0.2*g*avg*v,g*avg*v*IF(AND($B28&gt;=0,$B28&lt;=DATA!$P$28),((2/3)+($B28/DATA!$P$28)*((3/q_v)-(2/3))),IF(AND($B28&gt;=DATA!$P$28,$B28&lt;=DATA!$Q$28),3/q_v,IF(AND($B28&gt;=DATA!$Q$28,$B28&lt;=DATA!$R$28),(3/q_v)*(DATA!$Q$28/$B28),IF(AND($B28&gt;=DATA!$R$28,$B28&lt;=4),(3/q_v)*(DATA!$Q$28*DATA!$R$28/($B28^2)))))))</f>
        <v>0.11036249999999992</v>
      </c>
    </row>
    <row r="29" spans="1:18" x14ac:dyDescent="0.25">
      <c r="A29" s="19"/>
      <c r="B29" s="16">
        <f t="shared" si="8"/>
        <v>1.2500000000000004</v>
      </c>
      <c r="C29" s="50">
        <f t="shared" si="0"/>
        <v>0.47999999999999965</v>
      </c>
      <c r="D29" s="51">
        <f t="shared" si="1"/>
        <v>0.2</v>
      </c>
      <c r="E29" s="51">
        <f t="shared" si="2"/>
        <v>0.23999999999999982</v>
      </c>
      <c r="F29" s="52">
        <f t="shared" si="3"/>
        <v>0.1</v>
      </c>
      <c r="G29" s="50">
        <f t="shared" si="4"/>
        <v>1.1301119999999991</v>
      </c>
      <c r="H29" s="51">
        <f t="shared" si="5"/>
        <v>0.47088000000000002</v>
      </c>
      <c r="I29" s="51">
        <f t="shared" si="6"/>
        <v>0.56505599999999956</v>
      </c>
      <c r="J29" s="52">
        <f t="shared" si="7"/>
        <v>0.23544000000000001</v>
      </c>
      <c r="K29" s="50">
        <f>IF(AND($B29&gt;=0,$B29&lt;=DATA!$P$28),(1+($B29/DATA!$P$28)*(3*n-1)),IF(AND($B29&gt;=DATA!$P$28,$B29&lt;=DATA!$Q$28),n*3,IF(AND($B29&gt;=DATA!$Q$28,$B29&lt;=DATA!$R$28),n*3*(DATA!$Q$28/$B29),IF(AND($B29&gt;=DATA!$R$28,$B29&lt;=4),3*n*(DATA!$Q$28*DATA!$R$28/$B29^2)))))</f>
        <v>0.28799999999999981</v>
      </c>
      <c r="L29" s="51">
        <f>MAX(0.2,IF(AND($B29&gt;=0,$B29&lt;=DATA!$P$28),((2/3)+($B29/DATA!$P$28)*((3/q_v)-(2/3))),IF(AND($B29&gt;=DATA!$P$28,$B29&lt;=DATA!$Q$28),3/q_v,IF(AND($B29&gt;=DATA!$Q$28,$B29&lt;=DATA!$R$28),(3/q_v)*(DATA!$Q$28/$B29),IF(AND($B29&gt;=DATA!$R$28,$B29&lt;=4),(3/q_v)*(DATA!$Q$28*DATA!$R$28/($B29^2)))))))</f>
        <v>0.2</v>
      </c>
      <c r="M29" s="51">
        <f>v*IF(AND($B29&gt;=0,$B29&lt;=DATA!$P$28),(1+($B29/DATA!$P$28)*(3*n-1)),IF(AND($B29&gt;=DATA!$P$28,$B29&lt;=DATA!$Q$28),n*3,IF(AND($B29&gt;=DATA!$Q$28,$B29&lt;=DATA!$R$28),n*3*(DATA!$Q$28/$B29),IF(AND($B29&gt;=DATA!$R$28,$B29&lt;=4),3*n*(DATA!$Q$28*DATA!$R$28/$B29^2)))))</f>
        <v>0.14399999999999991</v>
      </c>
      <c r="N29" s="52">
        <f>MAX(0.2,v*IF(AND($B29&gt;=0,$B29&lt;=DATA!$P$28),((2/3)+($B29/DATA!$P$28)*((3/q_v)-(2/3))),IF(AND($B29&gt;=DATA!$P$28,$B29&lt;=DATA!$Q$28),3/q_v,IF(AND($B29&gt;=DATA!$Q$28,$B29&lt;=DATA!$R$28),(3/q_v)*(DATA!$Q$28/$B29),IF(AND($B29&gt;=DATA!$R$28,$B29&lt;=4),(3/q_v)*(DATA!$Q$28*DATA!$R$28/($B29^2)))))))</f>
        <v>0.2</v>
      </c>
      <c r="O29" s="50">
        <f>g*avg*IF(AND($B29&gt;=0,$B29&lt;=DATA!$P$28),(1+($B29/DATA!$P$28)*(3*n-1)),IF(AND($B29&gt;=DATA!$P$28,$B29&lt;=DATA!$Q$28),n*3,IF(AND($B29&gt;=DATA!$Q$28,$B29&lt;=DATA!$R$28),n*3*(DATA!$Q$28/$B29),IF(AND($B29&gt;=DATA!$R$28,$B29&lt;=4),3*n*(DATA!$Q$28*DATA!$R$28/$B29^2)))))</f>
        <v>0.30513023999999977</v>
      </c>
      <c r="P29" s="51">
        <f>MAX(0.2*g*avg,g*avg*IF(AND($B29&gt;=0,$B29&lt;=DATA!$P$28),((2/3)+($B29/DATA!$P$28)*((3/q_v)-(2/3))),IF(AND($B29&gt;=DATA!$P$28,$B29&lt;=DATA!$Q$28),3/q_v,IF(AND($B29&gt;=DATA!$Q$28,$B29&lt;=DATA!$R$28),(3/q_v)*(DATA!$Q$28/$B29),IF(AND($B29&gt;=DATA!$R$28,$B29&lt;=4),(3/q_v)*(DATA!$Q$28*DATA!$R$28/($B29^2)))))))</f>
        <v>0.21189600000000003</v>
      </c>
      <c r="Q29" s="51">
        <f>g*avg*v*IF(AND($B29&gt;=0,$B29&lt;=DATA!$P$28),(1+($B29/DATA!$P$28)*(3*n-1)),IF(AND($B29&gt;=DATA!$P$28,$B29&lt;=DATA!$Q$28),n*3,IF(AND($B29&gt;=DATA!$Q$28,$B29&lt;=DATA!$R$28),n*3*(DATA!$Q$28/$B29),IF(AND($B29&gt;=DATA!$R$28,$B29&lt;=4),3*n*(DATA!$Q$28*DATA!$R$28/$B29^2)))))</f>
        <v>0.15256511999999989</v>
      </c>
      <c r="R29" s="52">
        <f>MAX(0.2*g*avg*v,g*avg*v*IF(AND($B29&gt;=0,$B29&lt;=DATA!$P$28),((2/3)+($B29/DATA!$P$28)*((3/q_v)-(2/3))),IF(AND($B29&gt;=DATA!$P$28,$B29&lt;=DATA!$Q$28),3/q_v,IF(AND($B29&gt;=DATA!$Q$28,$B29&lt;=DATA!$R$28),(3/q_v)*(DATA!$Q$28/$B29),IF(AND($B29&gt;=DATA!$R$28,$B29&lt;=4),(3/q_v)*(DATA!$Q$28*DATA!$R$28/($B29^2)))))))</f>
        <v>0.10594800000000001</v>
      </c>
    </row>
    <row r="30" spans="1:18" x14ac:dyDescent="0.25">
      <c r="A30" s="19"/>
      <c r="B30" s="16">
        <f t="shared" si="8"/>
        <v>1.3000000000000005</v>
      </c>
      <c r="C30" s="50">
        <f t="shared" si="0"/>
        <v>0.44378698224852031</v>
      </c>
      <c r="D30" s="51">
        <f t="shared" si="1"/>
        <v>0.2</v>
      </c>
      <c r="E30" s="51">
        <f t="shared" si="2"/>
        <v>0.22189349112426016</v>
      </c>
      <c r="F30" s="52">
        <f t="shared" si="3"/>
        <v>0.1</v>
      </c>
      <c r="G30" s="50">
        <f t="shared" si="4"/>
        <v>1.0448520710059161</v>
      </c>
      <c r="H30" s="51">
        <f t="shared" si="5"/>
        <v>0.47088000000000002</v>
      </c>
      <c r="I30" s="51">
        <f t="shared" si="6"/>
        <v>0.52242603550295807</v>
      </c>
      <c r="J30" s="52">
        <f t="shared" si="7"/>
        <v>0.23544000000000001</v>
      </c>
      <c r="K30" s="50">
        <f>IF(AND($B30&gt;=0,$B30&lt;=DATA!$P$28),(1+($B30/DATA!$P$28)*(3*n-1)),IF(AND($B30&gt;=DATA!$P$28,$B30&lt;=DATA!$Q$28),n*3,IF(AND($B30&gt;=DATA!$Q$28,$B30&lt;=DATA!$R$28),n*3*(DATA!$Q$28/$B30),IF(AND($B30&gt;=DATA!$R$28,$B30&lt;=4),3*n*(DATA!$Q$28*DATA!$R$28/$B30^2)))))</f>
        <v>0.26627218934911223</v>
      </c>
      <c r="L30" s="51">
        <f>MAX(0.2,IF(AND($B30&gt;=0,$B30&lt;=DATA!$P$28),((2/3)+($B30/DATA!$P$28)*((3/q_v)-(2/3))),IF(AND($B30&gt;=DATA!$P$28,$B30&lt;=DATA!$Q$28),3/q_v,IF(AND($B30&gt;=DATA!$Q$28,$B30&lt;=DATA!$R$28),(3/q_v)*(DATA!$Q$28/$B30),IF(AND($B30&gt;=DATA!$R$28,$B30&lt;=4),(3/q_v)*(DATA!$Q$28*DATA!$R$28/($B30^2)))))))</f>
        <v>0.2</v>
      </c>
      <c r="M30" s="51">
        <f>v*IF(AND($B30&gt;=0,$B30&lt;=DATA!$P$28),(1+($B30/DATA!$P$28)*(3*n-1)),IF(AND($B30&gt;=DATA!$P$28,$B30&lt;=DATA!$Q$28),n*3,IF(AND($B30&gt;=DATA!$Q$28,$B30&lt;=DATA!$R$28),n*3*(DATA!$Q$28/$B30),IF(AND($B30&gt;=DATA!$R$28,$B30&lt;=4),3*n*(DATA!$Q$28*DATA!$R$28/$B30^2)))))</f>
        <v>0.13313609467455612</v>
      </c>
      <c r="N30" s="52">
        <f>MAX(0.2,v*IF(AND($B30&gt;=0,$B30&lt;=DATA!$P$28),((2/3)+($B30/DATA!$P$28)*((3/q_v)-(2/3))),IF(AND($B30&gt;=DATA!$P$28,$B30&lt;=DATA!$Q$28),3/q_v,IF(AND($B30&gt;=DATA!$Q$28,$B30&lt;=DATA!$R$28),(3/q_v)*(DATA!$Q$28/$B30),IF(AND($B30&gt;=DATA!$R$28,$B30&lt;=4),(3/q_v)*(DATA!$Q$28*DATA!$R$28/($B30^2)))))))</f>
        <v>0.2</v>
      </c>
      <c r="O30" s="50">
        <f>g*avg*IF(AND($B30&gt;=0,$B30&lt;=DATA!$P$28),(1+($B30/DATA!$P$28)*(3*n-1)),IF(AND($B30&gt;=DATA!$P$28,$B30&lt;=DATA!$Q$28),n*3,IF(AND($B30&gt;=DATA!$Q$28,$B30&lt;=DATA!$R$28),n*3*(DATA!$Q$28/$B30),IF(AND($B30&gt;=DATA!$R$28,$B30&lt;=4),3*n*(DATA!$Q$28*DATA!$R$28/$B30^2)))))</f>
        <v>0.28211005917159743</v>
      </c>
      <c r="P30" s="51">
        <f>MAX(0.2*g*avg,g*avg*IF(AND($B30&gt;=0,$B30&lt;=DATA!$P$28),((2/3)+($B30/DATA!$P$28)*((3/q_v)-(2/3))),IF(AND($B30&gt;=DATA!$P$28,$B30&lt;=DATA!$Q$28),3/q_v,IF(AND($B30&gt;=DATA!$Q$28,$B30&lt;=DATA!$R$28),(3/q_v)*(DATA!$Q$28/$B30),IF(AND($B30&gt;=DATA!$R$28,$B30&lt;=4),(3/q_v)*(DATA!$Q$28*DATA!$R$28/($B30^2)))))))</f>
        <v>0.21189600000000003</v>
      </c>
      <c r="Q30" s="51">
        <f>g*avg*v*IF(AND($B30&gt;=0,$B30&lt;=DATA!$P$28),(1+($B30/DATA!$P$28)*(3*n-1)),IF(AND($B30&gt;=DATA!$P$28,$B30&lt;=DATA!$Q$28),n*3,IF(AND($B30&gt;=DATA!$Q$28,$B30&lt;=DATA!$R$28),n*3*(DATA!$Q$28/$B30),IF(AND($B30&gt;=DATA!$R$28,$B30&lt;=4),3*n*(DATA!$Q$28*DATA!$R$28/$B30^2)))))</f>
        <v>0.14105502958579871</v>
      </c>
      <c r="R30" s="52">
        <f>MAX(0.2*g*avg*v,g*avg*v*IF(AND($B30&gt;=0,$B30&lt;=DATA!$P$28),((2/3)+($B30/DATA!$P$28)*((3/q_v)-(2/3))),IF(AND($B30&gt;=DATA!$P$28,$B30&lt;=DATA!$Q$28),3/q_v,IF(AND($B30&gt;=DATA!$Q$28,$B30&lt;=DATA!$R$28),(3/q_v)*(DATA!$Q$28/$B30),IF(AND($B30&gt;=DATA!$R$28,$B30&lt;=4),(3/q_v)*(DATA!$Q$28*DATA!$R$28/($B30^2)))))))</f>
        <v>0.10594800000000001</v>
      </c>
    </row>
    <row r="31" spans="1:18" x14ac:dyDescent="0.25">
      <c r="A31" s="19"/>
      <c r="B31" s="16">
        <f t="shared" si="8"/>
        <v>1.3500000000000005</v>
      </c>
      <c r="C31" s="50">
        <f t="shared" si="0"/>
        <v>0.41152263374485565</v>
      </c>
      <c r="D31" s="51">
        <f t="shared" si="1"/>
        <v>0.2</v>
      </c>
      <c r="E31" s="51">
        <f t="shared" si="2"/>
        <v>0.20576131687242782</v>
      </c>
      <c r="F31" s="52">
        <f t="shared" si="3"/>
        <v>0.1</v>
      </c>
      <c r="G31" s="50">
        <f t="shared" si="4"/>
        <v>0.96888888888888813</v>
      </c>
      <c r="H31" s="51">
        <f t="shared" si="5"/>
        <v>0.47088000000000002</v>
      </c>
      <c r="I31" s="51">
        <f t="shared" si="6"/>
        <v>0.48444444444444407</v>
      </c>
      <c r="J31" s="52">
        <f t="shared" si="7"/>
        <v>0.23544000000000001</v>
      </c>
      <c r="K31" s="50">
        <f>IF(AND($B31&gt;=0,$B31&lt;=DATA!$P$28),(1+($B31/DATA!$P$28)*(3*n-1)),IF(AND($B31&gt;=DATA!$P$28,$B31&lt;=DATA!$Q$28),n*3,IF(AND($B31&gt;=DATA!$Q$28,$B31&lt;=DATA!$R$28),n*3*(DATA!$Q$28/$B31),IF(AND($B31&gt;=DATA!$R$28,$B31&lt;=4),3*n*(DATA!$Q$28*DATA!$R$28/$B31^2)))))</f>
        <v>0.24691358024691337</v>
      </c>
      <c r="L31" s="51">
        <f>MAX(0.2,IF(AND($B31&gt;=0,$B31&lt;=DATA!$P$28),((2/3)+($B31/DATA!$P$28)*((3/q_v)-(2/3))),IF(AND($B31&gt;=DATA!$P$28,$B31&lt;=DATA!$Q$28),3/q_v,IF(AND($B31&gt;=DATA!$Q$28,$B31&lt;=DATA!$R$28),(3/q_v)*(DATA!$Q$28/$B31),IF(AND($B31&gt;=DATA!$R$28,$B31&lt;=4),(3/q_v)*(DATA!$Q$28*DATA!$R$28/($B31^2)))))))</f>
        <v>0.2</v>
      </c>
      <c r="M31" s="51">
        <f>v*IF(AND($B31&gt;=0,$B31&lt;=DATA!$P$28),(1+($B31/DATA!$P$28)*(3*n-1)),IF(AND($B31&gt;=DATA!$P$28,$B31&lt;=DATA!$Q$28),n*3,IF(AND($B31&gt;=DATA!$Q$28,$B31&lt;=DATA!$R$28),n*3*(DATA!$Q$28/$B31),IF(AND($B31&gt;=DATA!$R$28,$B31&lt;=4),3*n*(DATA!$Q$28*DATA!$R$28/$B31^2)))))</f>
        <v>0.12345679012345669</v>
      </c>
      <c r="N31" s="52">
        <f>MAX(0.2,v*IF(AND($B31&gt;=0,$B31&lt;=DATA!$P$28),((2/3)+($B31/DATA!$P$28)*((3/q_v)-(2/3))),IF(AND($B31&gt;=DATA!$P$28,$B31&lt;=DATA!$Q$28),3/q_v,IF(AND($B31&gt;=DATA!$Q$28,$B31&lt;=DATA!$R$28),(3/q_v)*(DATA!$Q$28/$B31),IF(AND($B31&gt;=DATA!$R$28,$B31&lt;=4),(3/q_v)*(DATA!$Q$28*DATA!$R$28/($B31^2)))))))</f>
        <v>0.2</v>
      </c>
      <c r="O31" s="50">
        <f>g*avg*IF(AND($B31&gt;=0,$B31&lt;=DATA!$P$28),(1+($B31/DATA!$P$28)*(3*n-1)),IF(AND($B31&gt;=DATA!$P$28,$B31&lt;=DATA!$Q$28),n*3,IF(AND($B31&gt;=DATA!$Q$28,$B31&lt;=DATA!$R$28),n*3*(DATA!$Q$28/$B31),IF(AND($B31&gt;=DATA!$R$28,$B31&lt;=4),3*n*(DATA!$Q$28*DATA!$R$28/$B31^2)))))</f>
        <v>0.26159999999999978</v>
      </c>
      <c r="P31" s="51">
        <f>MAX(0.2*g*avg,g*avg*IF(AND($B31&gt;=0,$B31&lt;=DATA!$P$28),((2/3)+($B31/DATA!$P$28)*((3/q_v)-(2/3))),IF(AND($B31&gt;=DATA!$P$28,$B31&lt;=DATA!$Q$28),3/q_v,IF(AND($B31&gt;=DATA!$Q$28,$B31&lt;=DATA!$R$28),(3/q_v)*(DATA!$Q$28/$B31),IF(AND($B31&gt;=DATA!$R$28,$B31&lt;=4),(3/q_v)*(DATA!$Q$28*DATA!$R$28/($B31^2)))))))</f>
        <v>0.21189600000000003</v>
      </c>
      <c r="Q31" s="51">
        <f>g*avg*v*IF(AND($B31&gt;=0,$B31&lt;=DATA!$P$28),(1+($B31/DATA!$P$28)*(3*n-1)),IF(AND($B31&gt;=DATA!$P$28,$B31&lt;=DATA!$Q$28),n*3,IF(AND($B31&gt;=DATA!$Q$28,$B31&lt;=DATA!$R$28),n*3*(DATA!$Q$28/$B31),IF(AND($B31&gt;=DATA!$R$28,$B31&lt;=4),3*n*(DATA!$Q$28*DATA!$R$28/$B31^2)))))</f>
        <v>0.13079999999999989</v>
      </c>
      <c r="R31" s="52">
        <f>MAX(0.2*g*avg*v,g*avg*v*IF(AND($B31&gt;=0,$B31&lt;=DATA!$P$28),((2/3)+($B31/DATA!$P$28)*((3/q_v)-(2/3))),IF(AND($B31&gt;=DATA!$P$28,$B31&lt;=DATA!$Q$28),3/q_v,IF(AND($B31&gt;=DATA!$Q$28,$B31&lt;=DATA!$R$28),(3/q_v)*(DATA!$Q$28/$B31),IF(AND($B31&gt;=DATA!$R$28,$B31&lt;=4),(3/q_v)*(DATA!$Q$28*DATA!$R$28/($B31^2)))))))</f>
        <v>0.10594800000000001</v>
      </c>
    </row>
    <row r="32" spans="1:18" x14ac:dyDescent="0.25">
      <c r="A32" s="19"/>
      <c r="B32" s="16">
        <f t="shared" si="8"/>
        <v>1.4000000000000006</v>
      </c>
      <c r="C32" s="50">
        <f t="shared" si="0"/>
        <v>0.38265306122448944</v>
      </c>
      <c r="D32" s="51">
        <f t="shared" si="1"/>
        <v>0.2</v>
      </c>
      <c r="E32" s="51">
        <f t="shared" si="2"/>
        <v>0.19132653061224472</v>
      </c>
      <c r="F32" s="52">
        <f t="shared" si="3"/>
        <v>0.1</v>
      </c>
      <c r="G32" s="50">
        <f t="shared" si="4"/>
        <v>0.90091836734693798</v>
      </c>
      <c r="H32" s="51">
        <f t="shared" si="5"/>
        <v>0.47088000000000002</v>
      </c>
      <c r="I32" s="51">
        <f t="shared" si="6"/>
        <v>0.45045918367346899</v>
      </c>
      <c r="J32" s="52">
        <f t="shared" si="7"/>
        <v>0.23544000000000001</v>
      </c>
      <c r="K32" s="50">
        <f>IF(AND($B32&gt;=0,$B32&lt;=DATA!$P$28),(1+($B32/DATA!$P$28)*(3*n-1)),IF(AND($B32&gt;=DATA!$P$28,$B32&lt;=DATA!$Q$28),n*3,IF(AND($B32&gt;=DATA!$Q$28,$B32&lt;=DATA!$R$28),n*3*(DATA!$Q$28/$B32),IF(AND($B32&gt;=DATA!$R$28,$B32&lt;=4),3*n*(DATA!$Q$28*DATA!$R$28/$B32^2)))))</f>
        <v>0.22959183673469369</v>
      </c>
      <c r="L32" s="51">
        <f>MAX(0.2,IF(AND($B32&gt;=0,$B32&lt;=DATA!$P$28),((2/3)+($B32/DATA!$P$28)*((3/q_v)-(2/3))),IF(AND($B32&gt;=DATA!$P$28,$B32&lt;=DATA!$Q$28),3/q_v,IF(AND($B32&gt;=DATA!$Q$28,$B32&lt;=DATA!$R$28),(3/q_v)*(DATA!$Q$28/$B32),IF(AND($B32&gt;=DATA!$R$28,$B32&lt;=4),(3/q_v)*(DATA!$Q$28*DATA!$R$28/($B32^2)))))))</f>
        <v>0.2</v>
      </c>
      <c r="M32" s="51">
        <f>v*IF(AND($B32&gt;=0,$B32&lt;=DATA!$P$28),(1+($B32/DATA!$P$28)*(3*n-1)),IF(AND($B32&gt;=DATA!$P$28,$B32&lt;=DATA!$Q$28),n*3,IF(AND($B32&gt;=DATA!$Q$28,$B32&lt;=DATA!$R$28),n*3*(DATA!$Q$28/$B32),IF(AND($B32&gt;=DATA!$R$28,$B32&lt;=4),3*n*(DATA!$Q$28*DATA!$R$28/$B32^2)))))</f>
        <v>0.11479591836734684</v>
      </c>
      <c r="N32" s="52">
        <f>MAX(0.2,v*IF(AND($B32&gt;=0,$B32&lt;=DATA!$P$28),((2/3)+($B32/DATA!$P$28)*((3/q_v)-(2/3))),IF(AND($B32&gt;=DATA!$P$28,$B32&lt;=DATA!$Q$28),3/q_v,IF(AND($B32&gt;=DATA!$Q$28,$B32&lt;=DATA!$R$28),(3/q_v)*(DATA!$Q$28/$B32),IF(AND($B32&gt;=DATA!$R$28,$B32&lt;=4),(3/q_v)*(DATA!$Q$28*DATA!$R$28/($B32^2)))))))</f>
        <v>0.2</v>
      </c>
      <c r="O32" s="50">
        <f>g*avg*IF(AND($B32&gt;=0,$B32&lt;=DATA!$P$28),(1+($B32/DATA!$P$28)*(3*n-1)),IF(AND($B32&gt;=DATA!$P$28,$B32&lt;=DATA!$Q$28),n*3,IF(AND($B32&gt;=DATA!$Q$28,$B32&lt;=DATA!$R$28),n*3*(DATA!$Q$28/$B32),IF(AND($B32&gt;=DATA!$R$28,$B32&lt;=4),3*n*(DATA!$Q$28*DATA!$R$28/$B32^2)))))</f>
        <v>0.24324795918367326</v>
      </c>
      <c r="P32" s="51">
        <f>MAX(0.2*g*avg,g*avg*IF(AND($B32&gt;=0,$B32&lt;=DATA!$P$28),((2/3)+($B32/DATA!$P$28)*((3/q_v)-(2/3))),IF(AND($B32&gt;=DATA!$P$28,$B32&lt;=DATA!$Q$28),3/q_v,IF(AND($B32&gt;=DATA!$Q$28,$B32&lt;=DATA!$R$28),(3/q_v)*(DATA!$Q$28/$B32),IF(AND($B32&gt;=DATA!$R$28,$B32&lt;=4),(3/q_v)*(DATA!$Q$28*DATA!$R$28/($B32^2)))))))</f>
        <v>0.21189600000000003</v>
      </c>
      <c r="Q32" s="51">
        <f>g*avg*v*IF(AND($B32&gt;=0,$B32&lt;=DATA!$P$28),(1+($B32/DATA!$P$28)*(3*n-1)),IF(AND($B32&gt;=DATA!$P$28,$B32&lt;=DATA!$Q$28),n*3,IF(AND($B32&gt;=DATA!$Q$28,$B32&lt;=DATA!$R$28),n*3*(DATA!$Q$28/$B32),IF(AND($B32&gt;=DATA!$R$28,$B32&lt;=4),3*n*(DATA!$Q$28*DATA!$R$28/$B32^2)))))</f>
        <v>0.12162397959183663</v>
      </c>
      <c r="R32" s="52">
        <f>MAX(0.2*g*avg*v,g*avg*v*IF(AND($B32&gt;=0,$B32&lt;=DATA!$P$28),((2/3)+($B32/DATA!$P$28)*((3/q_v)-(2/3))),IF(AND($B32&gt;=DATA!$P$28,$B32&lt;=DATA!$Q$28),3/q_v,IF(AND($B32&gt;=DATA!$Q$28,$B32&lt;=DATA!$R$28),(3/q_v)*(DATA!$Q$28/$B32),IF(AND($B32&gt;=DATA!$R$28,$B32&lt;=4),(3/q_v)*(DATA!$Q$28*DATA!$R$28/($B32^2)))))))</f>
        <v>0.10594800000000001</v>
      </c>
    </row>
    <row r="33" spans="1:18" x14ac:dyDescent="0.25">
      <c r="A33" s="19"/>
      <c r="B33" s="16">
        <f t="shared" si="8"/>
        <v>1.4500000000000006</v>
      </c>
      <c r="C33" s="50">
        <f t="shared" si="0"/>
        <v>0.35671819262782373</v>
      </c>
      <c r="D33" s="51">
        <f t="shared" si="1"/>
        <v>0.2</v>
      </c>
      <c r="E33" s="51">
        <f t="shared" si="2"/>
        <v>0.17835909631391186</v>
      </c>
      <c r="F33" s="52">
        <f t="shared" si="3"/>
        <v>0.1</v>
      </c>
      <c r="G33" s="50">
        <f t="shared" si="4"/>
        <v>0.83985731272294817</v>
      </c>
      <c r="H33" s="51">
        <f t="shared" si="5"/>
        <v>0.47088000000000002</v>
      </c>
      <c r="I33" s="51">
        <f t="shared" si="6"/>
        <v>0.41992865636147408</v>
      </c>
      <c r="J33" s="52">
        <f t="shared" si="7"/>
        <v>0.23544000000000001</v>
      </c>
      <c r="K33" s="50">
        <f>IF(AND($B33&gt;=0,$B33&lt;=DATA!$P$28),(1+($B33/DATA!$P$28)*(3*n-1)),IF(AND($B33&gt;=DATA!$P$28,$B33&lt;=DATA!$Q$28),n*3,IF(AND($B33&gt;=DATA!$Q$28,$B33&lt;=DATA!$R$28),n*3*(DATA!$Q$28/$B33),IF(AND($B33&gt;=DATA!$R$28,$B33&lt;=4),3*n*(DATA!$Q$28*DATA!$R$28/$B33^2)))))</f>
        <v>0.21403091557669424</v>
      </c>
      <c r="L33" s="51">
        <f>MAX(0.2,IF(AND($B33&gt;=0,$B33&lt;=DATA!$P$28),((2/3)+($B33/DATA!$P$28)*((3/q_v)-(2/3))),IF(AND($B33&gt;=DATA!$P$28,$B33&lt;=DATA!$Q$28),3/q_v,IF(AND($B33&gt;=DATA!$Q$28,$B33&lt;=DATA!$R$28),(3/q_v)*(DATA!$Q$28/$B33),IF(AND($B33&gt;=DATA!$R$28,$B33&lt;=4),(3/q_v)*(DATA!$Q$28*DATA!$R$28/($B33^2)))))))</f>
        <v>0.2</v>
      </c>
      <c r="M33" s="51">
        <f>v*IF(AND($B33&gt;=0,$B33&lt;=DATA!$P$28),(1+($B33/DATA!$P$28)*(3*n-1)),IF(AND($B33&gt;=DATA!$P$28,$B33&lt;=DATA!$Q$28),n*3,IF(AND($B33&gt;=DATA!$Q$28,$B33&lt;=DATA!$R$28),n*3*(DATA!$Q$28/$B33),IF(AND($B33&gt;=DATA!$R$28,$B33&lt;=4),3*n*(DATA!$Q$28*DATA!$R$28/$B33^2)))))</f>
        <v>0.10701545778834712</v>
      </c>
      <c r="N33" s="52">
        <f>MAX(0.2,v*IF(AND($B33&gt;=0,$B33&lt;=DATA!$P$28),((2/3)+($B33/DATA!$P$28)*((3/q_v)-(2/3))),IF(AND($B33&gt;=DATA!$P$28,$B33&lt;=DATA!$Q$28),3/q_v,IF(AND($B33&gt;=DATA!$Q$28,$B33&lt;=DATA!$R$28),(3/q_v)*(DATA!$Q$28/$B33),IF(AND($B33&gt;=DATA!$R$28,$B33&lt;=4),(3/q_v)*(DATA!$Q$28*DATA!$R$28/($B33^2)))))))</f>
        <v>0.2</v>
      </c>
      <c r="O33" s="50">
        <f>g*avg*IF(AND($B33&gt;=0,$B33&lt;=DATA!$P$28),(1+($B33/DATA!$P$28)*(3*n-1)),IF(AND($B33&gt;=DATA!$P$28,$B33&lt;=DATA!$Q$28),n*3,IF(AND($B33&gt;=DATA!$Q$28,$B33&lt;=DATA!$R$28),n*3*(DATA!$Q$28/$B33),IF(AND($B33&gt;=DATA!$R$28,$B33&lt;=4),3*n*(DATA!$Q$28*DATA!$R$28/$B33^2)))))</f>
        <v>0.22676147443519601</v>
      </c>
      <c r="P33" s="51">
        <f>MAX(0.2*g*avg,g*avg*IF(AND($B33&gt;=0,$B33&lt;=DATA!$P$28),((2/3)+($B33/DATA!$P$28)*((3/q_v)-(2/3))),IF(AND($B33&gt;=DATA!$P$28,$B33&lt;=DATA!$Q$28),3/q_v,IF(AND($B33&gt;=DATA!$Q$28,$B33&lt;=DATA!$R$28),(3/q_v)*(DATA!$Q$28/$B33),IF(AND($B33&gt;=DATA!$R$28,$B33&lt;=4),(3/q_v)*(DATA!$Q$28*DATA!$R$28/($B33^2)))))))</f>
        <v>0.21189600000000003</v>
      </c>
      <c r="Q33" s="51">
        <f>g*avg*v*IF(AND($B33&gt;=0,$B33&lt;=DATA!$P$28),(1+($B33/DATA!$P$28)*(3*n-1)),IF(AND($B33&gt;=DATA!$P$28,$B33&lt;=DATA!$Q$28),n*3,IF(AND($B33&gt;=DATA!$Q$28,$B33&lt;=DATA!$R$28),n*3*(DATA!$Q$28/$B33),IF(AND($B33&gt;=DATA!$R$28,$B33&lt;=4),3*n*(DATA!$Q$28*DATA!$R$28/$B33^2)))))</f>
        <v>0.113380737217598</v>
      </c>
      <c r="R33" s="52">
        <f>MAX(0.2*g*avg*v,g*avg*v*IF(AND($B33&gt;=0,$B33&lt;=DATA!$P$28),((2/3)+($B33/DATA!$P$28)*((3/q_v)-(2/3))),IF(AND($B33&gt;=DATA!$P$28,$B33&lt;=DATA!$Q$28),3/q_v,IF(AND($B33&gt;=DATA!$Q$28,$B33&lt;=DATA!$R$28),(3/q_v)*(DATA!$Q$28/$B33),IF(AND($B33&gt;=DATA!$R$28,$B33&lt;=4),(3/q_v)*(DATA!$Q$28*DATA!$R$28/($B33^2)))))))</f>
        <v>0.10594800000000001</v>
      </c>
    </row>
    <row r="34" spans="1:18" x14ac:dyDescent="0.25">
      <c r="A34" s="19"/>
      <c r="B34" s="16">
        <f t="shared" si="8"/>
        <v>1.5000000000000007</v>
      </c>
      <c r="C34" s="50">
        <f t="shared" si="0"/>
        <v>0.33333333333333304</v>
      </c>
      <c r="D34" s="51">
        <f t="shared" si="1"/>
        <v>0.2</v>
      </c>
      <c r="E34" s="51">
        <f t="shared" si="2"/>
        <v>0.16666666666666652</v>
      </c>
      <c r="F34" s="52">
        <f t="shared" si="3"/>
        <v>0.1</v>
      </c>
      <c r="G34" s="50">
        <f t="shared" si="4"/>
        <v>0.78479999999999928</v>
      </c>
      <c r="H34" s="51">
        <f t="shared" si="5"/>
        <v>0.47088000000000002</v>
      </c>
      <c r="I34" s="51">
        <f t="shared" si="6"/>
        <v>0.39239999999999964</v>
      </c>
      <c r="J34" s="52">
        <f t="shared" si="7"/>
        <v>0.23544000000000001</v>
      </c>
      <c r="K34" s="50">
        <f>IF(AND($B34&gt;=0,$B34&lt;=DATA!$P$28),(1+($B34/DATA!$P$28)*(3*n-1)),IF(AND($B34&gt;=DATA!$P$28,$B34&lt;=DATA!$Q$28),n*3,IF(AND($B34&gt;=DATA!$Q$28,$B34&lt;=DATA!$R$28),n*3*(DATA!$Q$28/$B34),IF(AND($B34&gt;=DATA!$R$28,$B34&lt;=4),3*n*(DATA!$Q$28*DATA!$R$28/$B34^2)))))</f>
        <v>0.19999999999999984</v>
      </c>
      <c r="L34" s="51">
        <f>MAX(0.2,IF(AND($B34&gt;=0,$B34&lt;=DATA!$P$28),((2/3)+($B34/DATA!$P$28)*((3/q_v)-(2/3))),IF(AND($B34&gt;=DATA!$P$28,$B34&lt;=DATA!$Q$28),3/q_v,IF(AND($B34&gt;=DATA!$Q$28,$B34&lt;=DATA!$R$28),(3/q_v)*(DATA!$Q$28/$B34),IF(AND($B34&gt;=DATA!$R$28,$B34&lt;=4),(3/q_v)*(DATA!$Q$28*DATA!$R$28/($B34^2)))))))</f>
        <v>0.2</v>
      </c>
      <c r="M34" s="51">
        <f>v*IF(AND($B34&gt;=0,$B34&lt;=DATA!$P$28),(1+($B34/DATA!$P$28)*(3*n-1)),IF(AND($B34&gt;=DATA!$P$28,$B34&lt;=DATA!$Q$28),n*3,IF(AND($B34&gt;=DATA!$Q$28,$B34&lt;=DATA!$R$28),n*3*(DATA!$Q$28/$B34),IF(AND($B34&gt;=DATA!$R$28,$B34&lt;=4),3*n*(DATA!$Q$28*DATA!$R$28/$B34^2)))))</f>
        <v>9.9999999999999922E-2</v>
      </c>
      <c r="N34" s="52">
        <f>MAX(0.2,v*IF(AND($B34&gt;=0,$B34&lt;=DATA!$P$28),((2/3)+($B34/DATA!$P$28)*((3/q_v)-(2/3))),IF(AND($B34&gt;=DATA!$P$28,$B34&lt;=DATA!$Q$28),3/q_v,IF(AND($B34&gt;=DATA!$Q$28,$B34&lt;=DATA!$R$28),(3/q_v)*(DATA!$Q$28/$B34),IF(AND($B34&gt;=DATA!$R$28,$B34&lt;=4),(3/q_v)*(DATA!$Q$28*DATA!$R$28/($B34^2)))))))</f>
        <v>0.2</v>
      </c>
      <c r="O34" s="50">
        <f>g*avg*IF(AND($B34&gt;=0,$B34&lt;=DATA!$P$28),(1+($B34/DATA!$P$28)*(3*n-1)),IF(AND($B34&gt;=DATA!$P$28,$B34&lt;=DATA!$Q$28),n*3,IF(AND($B34&gt;=DATA!$Q$28,$B34&lt;=DATA!$R$28),n*3*(DATA!$Q$28/$B34),IF(AND($B34&gt;=DATA!$R$28,$B34&lt;=4),3*n*(DATA!$Q$28*DATA!$R$28/$B34^2)))))</f>
        <v>0.21189599999999983</v>
      </c>
      <c r="P34" s="51">
        <f>MAX(0.2*g*avg,g*avg*IF(AND($B34&gt;=0,$B34&lt;=DATA!$P$28),((2/3)+($B34/DATA!$P$28)*((3/q_v)-(2/3))),IF(AND($B34&gt;=DATA!$P$28,$B34&lt;=DATA!$Q$28),3/q_v,IF(AND($B34&gt;=DATA!$Q$28,$B34&lt;=DATA!$R$28),(3/q_v)*(DATA!$Q$28/$B34),IF(AND($B34&gt;=DATA!$R$28,$B34&lt;=4),(3/q_v)*(DATA!$Q$28*DATA!$R$28/($B34^2)))))))</f>
        <v>0.21189600000000003</v>
      </c>
      <c r="Q34" s="51">
        <f>g*avg*v*IF(AND($B34&gt;=0,$B34&lt;=DATA!$P$28),(1+($B34/DATA!$P$28)*(3*n-1)),IF(AND($B34&gt;=DATA!$P$28,$B34&lt;=DATA!$Q$28),n*3,IF(AND($B34&gt;=DATA!$Q$28,$B34&lt;=DATA!$R$28),n*3*(DATA!$Q$28/$B34),IF(AND($B34&gt;=DATA!$R$28,$B34&lt;=4),3*n*(DATA!$Q$28*DATA!$R$28/$B34^2)))))</f>
        <v>0.10594799999999992</v>
      </c>
      <c r="R34" s="52">
        <f>MAX(0.2*g*avg*v,g*avg*v*IF(AND($B34&gt;=0,$B34&lt;=DATA!$P$28),((2/3)+($B34/DATA!$P$28)*((3/q_v)-(2/3))),IF(AND($B34&gt;=DATA!$P$28,$B34&lt;=DATA!$Q$28),3/q_v,IF(AND($B34&gt;=DATA!$Q$28,$B34&lt;=DATA!$R$28),(3/q_v)*(DATA!$Q$28/$B34),IF(AND($B34&gt;=DATA!$R$28,$B34&lt;=4),(3/q_v)*(DATA!$Q$28*DATA!$R$28/($B34^2)))))))</f>
        <v>0.10594800000000001</v>
      </c>
    </row>
    <row r="35" spans="1:18" x14ac:dyDescent="0.25">
      <c r="A35" s="19"/>
      <c r="B35" s="16">
        <f t="shared" si="8"/>
        <v>1.5500000000000007</v>
      </c>
      <c r="C35" s="50">
        <f t="shared" si="0"/>
        <v>0.31217481789802259</v>
      </c>
      <c r="D35" s="51">
        <f t="shared" si="1"/>
        <v>0.2</v>
      </c>
      <c r="E35" s="51">
        <f t="shared" si="2"/>
        <v>0.1560874089490113</v>
      </c>
      <c r="F35" s="52">
        <f t="shared" si="3"/>
        <v>0.1</v>
      </c>
      <c r="G35" s="50">
        <f t="shared" si="4"/>
        <v>0.73498439125910442</v>
      </c>
      <c r="H35" s="51">
        <f t="shared" si="5"/>
        <v>0.47088000000000002</v>
      </c>
      <c r="I35" s="51">
        <f t="shared" si="6"/>
        <v>0.36749219562955221</v>
      </c>
      <c r="J35" s="52">
        <f t="shared" si="7"/>
        <v>0.23544000000000001</v>
      </c>
      <c r="K35" s="50">
        <f>IF(AND($B35&gt;=0,$B35&lt;=DATA!$P$28),(1+($B35/DATA!$P$28)*(3*n-1)),IF(AND($B35&gt;=DATA!$P$28,$B35&lt;=DATA!$Q$28),n*3,IF(AND($B35&gt;=DATA!$Q$28,$B35&lt;=DATA!$R$28),n*3*(DATA!$Q$28/$B35),IF(AND($B35&gt;=DATA!$R$28,$B35&lt;=4),3*n*(DATA!$Q$28*DATA!$R$28/$B35^2)))))</f>
        <v>0.18730489073881357</v>
      </c>
      <c r="L35" s="51">
        <f>MAX(0.2,IF(AND($B35&gt;=0,$B35&lt;=DATA!$P$28),((2/3)+($B35/DATA!$P$28)*((3/q_v)-(2/3))),IF(AND($B35&gt;=DATA!$P$28,$B35&lt;=DATA!$Q$28),3/q_v,IF(AND($B35&gt;=DATA!$Q$28,$B35&lt;=DATA!$R$28),(3/q_v)*(DATA!$Q$28/$B35),IF(AND($B35&gt;=DATA!$R$28,$B35&lt;=4),(3/q_v)*(DATA!$Q$28*DATA!$R$28/($B35^2)))))))</f>
        <v>0.2</v>
      </c>
      <c r="M35" s="51">
        <f>v*IF(AND($B35&gt;=0,$B35&lt;=DATA!$P$28),(1+($B35/DATA!$P$28)*(3*n-1)),IF(AND($B35&gt;=DATA!$P$28,$B35&lt;=DATA!$Q$28),n*3,IF(AND($B35&gt;=DATA!$Q$28,$B35&lt;=DATA!$R$28),n*3*(DATA!$Q$28/$B35),IF(AND($B35&gt;=DATA!$R$28,$B35&lt;=4),3*n*(DATA!$Q$28*DATA!$R$28/$B35^2)))))</f>
        <v>9.3652445369406784E-2</v>
      </c>
      <c r="N35" s="52">
        <f>MAX(0.2,v*IF(AND($B35&gt;=0,$B35&lt;=DATA!$P$28),((2/3)+($B35/DATA!$P$28)*((3/q_v)-(2/3))),IF(AND($B35&gt;=DATA!$P$28,$B35&lt;=DATA!$Q$28),3/q_v,IF(AND($B35&gt;=DATA!$Q$28,$B35&lt;=DATA!$R$28),(3/q_v)*(DATA!$Q$28/$B35),IF(AND($B35&gt;=DATA!$R$28,$B35&lt;=4),(3/q_v)*(DATA!$Q$28*DATA!$R$28/($B35^2)))))))</f>
        <v>0.2</v>
      </c>
      <c r="O35" s="50">
        <f>g*avg*IF(AND($B35&gt;=0,$B35&lt;=DATA!$P$28),(1+($B35/DATA!$P$28)*(3*n-1)),IF(AND($B35&gt;=DATA!$P$28,$B35&lt;=DATA!$Q$28),n*3,IF(AND($B35&gt;=DATA!$Q$28,$B35&lt;=DATA!$R$28),n*3*(DATA!$Q$28/$B35),IF(AND($B35&gt;=DATA!$R$28,$B35&lt;=4),3*n*(DATA!$Q$28*DATA!$R$28/$B35^2)))))</f>
        <v>0.19844578563995818</v>
      </c>
      <c r="P35" s="51">
        <f>MAX(0.2*g*avg,g*avg*IF(AND($B35&gt;=0,$B35&lt;=DATA!$P$28),((2/3)+($B35/DATA!$P$28)*((3/q_v)-(2/3))),IF(AND($B35&gt;=DATA!$P$28,$B35&lt;=DATA!$Q$28),3/q_v,IF(AND($B35&gt;=DATA!$Q$28,$B35&lt;=DATA!$R$28),(3/q_v)*(DATA!$Q$28/$B35),IF(AND($B35&gt;=DATA!$R$28,$B35&lt;=4),(3/q_v)*(DATA!$Q$28*DATA!$R$28/($B35^2)))))))</f>
        <v>0.21189600000000003</v>
      </c>
      <c r="Q35" s="51">
        <f>g*avg*v*IF(AND($B35&gt;=0,$B35&lt;=DATA!$P$28),(1+($B35/DATA!$P$28)*(3*n-1)),IF(AND($B35&gt;=DATA!$P$28,$B35&lt;=DATA!$Q$28),n*3,IF(AND($B35&gt;=DATA!$Q$28,$B35&lt;=DATA!$R$28),n*3*(DATA!$Q$28/$B35),IF(AND($B35&gt;=DATA!$R$28,$B35&lt;=4),3*n*(DATA!$Q$28*DATA!$R$28/$B35^2)))))</f>
        <v>9.9222892819979092E-2</v>
      </c>
      <c r="R35" s="52">
        <f>MAX(0.2*g*avg*v,g*avg*v*IF(AND($B35&gt;=0,$B35&lt;=DATA!$P$28),((2/3)+($B35/DATA!$P$28)*((3/q_v)-(2/3))),IF(AND($B35&gt;=DATA!$P$28,$B35&lt;=DATA!$Q$28),3/q_v,IF(AND($B35&gt;=DATA!$Q$28,$B35&lt;=DATA!$R$28),(3/q_v)*(DATA!$Q$28/$B35),IF(AND($B35&gt;=DATA!$R$28,$B35&lt;=4),(3/q_v)*(DATA!$Q$28*DATA!$R$28/($B35^2)))))))</f>
        <v>0.10594800000000001</v>
      </c>
    </row>
    <row r="36" spans="1:18" x14ac:dyDescent="0.25">
      <c r="A36" s="19"/>
      <c r="B36" s="16">
        <f t="shared" si="8"/>
        <v>1.6000000000000008</v>
      </c>
      <c r="C36" s="50">
        <f t="shared" si="0"/>
        <v>0.29296874999999972</v>
      </c>
      <c r="D36" s="51">
        <f t="shared" si="1"/>
        <v>0.2</v>
      </c>
      <c r="E36" s="51">
        <f t="shared" si="2"/>
        <v>0.14648437499999986</v>
      </c>
      <c r="F36" s="52">
        <f t="shared" si="3"/>
        <v>0.1</v>
      </c>
      <c r="G36" s="50">
        <f t="shared" si="4"/>
        <v>0.68976562499999938</v>
      </c>
      <c r="H36" s="51">
        <f t="shared" si="5"/>
        <v>0.47088000000000002</v>
      </c>
      <c r="I36" s="51">
        <f t="shared" si="6"/>
        <v>0.34488281249999969</v>
      </c>
      <c r="J36" s="52">
        <f t="shared" si="7"/>
        <v>0.23544000000000001</v>
      </c>
      <c r="K36" s="50">
        <f>IF(AND($B36&gt;=0,$B36&lt;=DATA!$P$28),(1+($B36/DATA!$P$28)*(3*n-1)),IF(AND($B36&gt;=DATA!$P$28,$B36&lt;=DATA!$Q$28),n*3,IF(AND($B36&gt;=DATA!$Q$28,$B36&lt;=DATA!$R$28),n*3*(DATA!$Q$28/$B36),IF(AND($B36&gt;=DATA!$R$28,$B36&lt;=4),3*n*(DATA!$Q$28*DATA!$R$28/$B36^2)))))</f>
        <v>0.17578124999999983</v>
      </c>
      <c r="L36" s="51">
        <f>MAX(0.2,IF(AND($B36&gt;=0,$B36&lt;=DATA!$P$28),((2/3)+($B36/DATA!$P$28)*((3/q_v)-(2/3))),IF(AND($B36&gt;=DATA!$P$28,$B36&lt;=DATA!$Q$28),3/q_v,IF(AND($B36&gt;=DATA!$Q$28,$B36&lt;=DATA!$R$28),(3/q_v)*(DATA!$Q$28/$B36),IF(AND($B36&gt;=DATA!$R$28,$B36&lt;=4),(3/q_v)*(DATA!$Q$28*DATA!$R$28/($B36^2)))))))</f>
        <v>0.2</v>
      </c>
      <c r="M36" s="51">
        <f>v*IF(AND($B36&gt;=0,$B36&lt;=DATA!$P$28),(1+($B36/DATA!$P$28)*(3*n-1)),IF(AND($B36&gt;=DATA!$P$28,$B36&lt;=DATA!$Q$28),n*3,IF(AND($B36&gt;=DATA!$Q$28,$B36&lt;=DATA!$R$28),n*3*(DATA!$Q$28/$B36),IF(AND($B36&gt;=DATA!$R$28,$B36&lt;=4),3*n*(DATA!$Q$28*DATA!$R$28/$B36^2)))))</f>
        <v>8.7890624999999917E-2</v>
      </c>
      <c r="N36" s="52">
        <f>MAX(0.2,v*IF(AND($B36&gt;=0,$B36&lt;=DATA!$P$28),((2/3)+($B36/DATA!$P$28)*((3/q_v)-(2/3))),IF(AND($B36&gt;=DATA!$P$28,$B36&lt;=DATA!$Q$28),3/q_v,IF(AND($B36&gt;=DATA!$Q$28,$B36&lt;=DATA!$R$28),(3/q_v)*(DATA!$Q$28/$B36),IF(AND($B36&gt;=DATA!$R$28,$B36&lt;=4),(3/q_v)*(DATA!$Q$28*DATA!$R$28/($B36^2)))))))</f>
        <v>0.2</v>
      </c>
      <c r="O36" s="50">
        <f>g*avg*IF(AND($B36&gt;=0,$B36&lt;=DATA!$P$28),(1+($B36/DATA!$P$28)*(3*n-1)),IF(AND($B36&gt;=DATA!$P$28,$B36&lt;=DATA!$Q$28),n*3,IF(AND($B36&gt;=DATA!$Q$28,$B36&lt;=DATA!$R$28),n*3*(DATA!$Q$28/$B36),IF(AND($B36&gt;=DATA!$R$28,$B36&lt;=4),3*n*(DATA!$Q$28*DATA!$R$28/$B36^2)))))</f>
        <v>0.18623671874999981</v>
      </c>
      <c r="P36" s="51">
        <f>MAX(0.2*g*avg,g*avg*IF(AND($B36&gt;=0,$B36&lt;=DATA!$P$28),((2/3)+($B36/DATA!$P$28)*((3/q_v)-(2/3))),IF(AND($B36&gt;=DATA!$P$28,$B36&lt;=DATA!$Q$28),3/q_v,IF(AND($B36&gt;=DATA!$Q$28,$B36&lt;=DATA!$R$28),(3/q_v)*(DATA!$Q$28/$B36),IF(AND($B36&gt;=DATA!$R$28,$B36&lt;=4),(3/q_v)*(DATA!$Q$28*DATA!$R$28/($B36^2)))))))</f>
        <v>0.21189600000000003</v>
      </c>
      <c r="Q36" s="51">
        <f>g*avg*v*IF(AND($B36&gt;=0,$B36&lt;=DATA!$P$28),(1+($B36/DATA!$P$28)*(3*n-1)),IF(AND($B36&gt;=DATA!$P$28,$B36&lt;=DATA!$Q$28),n*3,IF(AND($B36&gt;=DATA!$Q$28,$B36&lt;=DATA!$R$28),n*3*(DATA!$Q$28/$B36),IF(AND($B36&gt;=DATA!$R$28,$B36&lt;=4),3*n*(DATA!$Q$28*DATA!$R$28/$B36^2)))))</f>
        <v>9.3118359374999904E-2</v>
      </c>
      <c r="R36" s="52">
        <f>MAX(0.2*g*avg*v,g*avg*v*IF(AND($B36&gt;=0,$B36&lt;=DATA!$P$28),((2/3)+($B36/DATA!$P$28)*((3/q_v)-(2/3))),IF(AND($B36&gt;=DATA!$P$28,$B36&lt;=DATA!$Q$28),3/q_v,IF(AND($B36&gt;=DATA!$Q$28,$B36&lt;=DATA!$R$28),(3/q_v)*(DATA!$Q$28/$B36),IF(AND($B36&gt;=DATA!$R$28,$B36&lt;=4),(3/q_v)*(DATA!$Q$28*DATA!$R$28/($B36^2)))))))</f>
        <v>0.10594800000000001</v>
      </c>
    </row>
    <row r="37" spans="1:18" x14ac:dyDescent="0.25">
      <c r="A37" s="19"/>
      <c r="B37" s="16">
        <f t="shared" si="8"/>
        <v>1.6500000000000008</v>
      </c>
      <c r="C37" s="50">
        <f t="shared" si="0"/>
        <v>0.27548209366391152</v>
      </c>
      <c r="D37" s="51">
        <f t="shared" si="1"/>
        <v>0.2</v>
      </c>
      <c r="E37" s="51">
        <f t="shared" si="2"/>
        <v>0.13774104683195576</v>
      </c>
      <c r="F37" s="52">
        <f t="shared" si="3"/>
        <v>0.1</v>
      </c>
      <c r="G37" s="50">
        <f t="shared" si="4"/>
        <v>0.64859504132231327</v>
      </c>
      <c r="H37" s="51">
        <f t="shared" si="5"/>
        <v>0.47088000000000002</v>
      </c>
      <c r="I37" s="51">
        <f t="shared" si="6"/>
        <v>0.32429752066115664</v>
      </c>
      <c r="J37" s="52">
        <f t="shared" si="7"/>
        <v>0.23544000000000001</v>
      </c>
      <c r="K37" s="50">
        <f>IF(AND($B37&gt;=0,$B37&lt;=DATA!$P$28),(1+($B37/DATA!$P$28)*(3*n-1)),IF(AND($B37&gt;=DATA!$P$28,$B37&lt;=DATA!$Q$28),n*3,IF(AND($B37&gt;=DATA!$Q$28,$B37&lt;=DATA!$R$28),n*3*(DATA!$Q$28/$B37),IF(AND($B37&gt;=DATA!$R$28,$B37&lt;=4),3*n*(DATA!$Q$28*DATA!$R$28/$B37^2)))))</f>
        <v>0.16528925619834692</v>
      </c>
      <c r="L37" s="51">
        <f>MAX(0.2,IF(AND($B37&gt;=0,$B37&lt;=DATA!$P$28),((2/3)+($B37/DATA!$P$28)*((3/q_v)-(2/3))),IF(AND($B37&gt;=DATA!$P$28,$B37&lt;=DATA!$Q$28),3/q_v,IF(AND($B37&gt;=DATA!$Q$28,$B37&lt;=DATA!$R$28),(3/q_v)*(DATA!$Q$28/$B37),IF(AND($B37&gt;=DATA!$R$28,$B37&lt;=4),(3/q_v)*(DATA!$Q$28*DATA!$R$28/($B37^2)))))))</f>
        <v>0.2</v>
      </c>
      <c r="M37" s="51">
        <f>v*IF(AND($B37&gt;=0,$B37&lt;=DATA!$P$28),(1+($B37/DATA!$P$28)*(3*n-1)),IF(AND($B37&gt;=DATA!$P$28,$B37&lt;=DATA!$Q$28),n*3,IF(AND($B37&gt;=DATA!$Q$28,$B37&lt;=DATA!$R$28),n*3*(DATA!$Q$28/$B37),IF(AND($B37&gt;=DATA!$R$28,$B37&lt;=4),3*n*(DATA!$Q$28*DATA!$R$28/$B37^2)))))</f>
        <v>8.2644628099173459E-2</v>
      </c>
      <c r="N37" s="52">
        <f>MAX(0.2,v*IF(AND($B37&gt;=0,$B37&lt;=DATA!$P$28),((2/3)+($B37/DATA!$P$28)*((3/q_v)-(2/3))),IF(AND($B37&gt;=DATA!$P$28,$B37&lt;=DATA!$Q$28),3/q_v,IF(AND($B37&gt;=DATA!$Q$28,$B37&lt;=DATA!$R$28),(3/q_v)*(DATA!$Q$28/$B37),IF(AND($B37&gt;=DATA!$R$28,$B37&lt;=4),(3/q_v)*(DATA!$Q$28*DATA!$R$28/($B37^2)))))))</f>
        <v>0.2</v>
      </c>
      <c r="O37" s="50">
        <f>g*avg*IF(AND($B37&gt;=0,$B37&lt;=DATA!$P$28),(1+($B37/DATA!$P$28)*(3*n-1)),IF(AND($B37&gt;=DATA!$P$28,$B37&lt;=DATA!$Q$28),n*3,IF(AND($B37&gt;=DATA!$Q$28,$B37&lt;=DATA!$R$28),n*3*(DATA!$Q$28/$B37),IF(AND($B37&gt;=DATA!$R$28,$B37&lt;=4),3*n*(DATA!$Q$28*DATA!$R$28/$B37^2)))))</f>
        <v>0.1751206611570246</v>
      </c>
      <c r="P37" s="51">
        <f>MAX(0.2*g*avg,g*avg*IF(AND($B37&gt;=0,$B37&lt;=DATA!$P$28),((2/3)+($B37/DATA!$P$28)*((3/q_v)-(2/3))),IF(AND($B37&gt;=DATA!$P$28,$B37&lt;=DATA!$Q$28),3/q_v,IF(AND($B37&gt;=DATA!$Q$28,$B37&lt;=DATA!$R$28),(3/q_v)*(DATA!$Q$28/$B37),IF(AND($B37&gt;=DATA!$R$28,$B37&lt;=4),(3/q_v)*(DATA!$Q$28*DATA!$R$28/($B37^2)))))))</f>
        <v>0.21189600000000003</v>
      </c>
      <c r="Q37" s="51">
        <f>g*avg*v*IF(AND($B37&gt;=0,$B37&lt;=DATA!$P$28),(1+($B37/DATA!$P$28)*(3*n-1)),IF(AND($B37&gt;=DATA!$P$28,$B37&lt;=DATA!$Q$28),n*3,IF(AND($B37&gt;=DATA!$Q$28,$B37&lt;=DATA!$R$28),n*3*(DATA!$Q$28/$B37),IF(AND($B37&gt;=DATA!$R$28,$B37&lt;=4),3*n*(DATA!$Q$28*DATA!$R$28/$B37^2)))))</f>
        <v>8.7560330578512299E-2</v>
      </c>
      <c r="R37" s="52">
        <f>MAX(0.2*g*avg*v,g*avg*v*IF(AND($B37&gt;=0,$B37&lt;=DATA!$P$28),((2/3)+($B37/DATA!$P$28)*((3/q_v)-(2/3))),IF(AND($B37&gt;=DATA!$P$28,$B37&lt;=DATA!$Q$28),3/q_v,IF(AND($B37&gt;=DATA!$Q$28,$B37&lt;=DATA!$R$28),(3/q_v)*(DATA!$Q$28/$B37),IF(AND($B37&gt;=DATA!$R$28,$B37&lt;=4),(3/q_v)*(DATA!$Q$28*DATA!$R$28/($B37^2)))))))</f>
        <v>0.10594800000000001</v>
      </c>
    </row>
    <row r="38" spans="1:18" x14ac:dyDescent="0.25">
      <c r="A38" s="19"/>
      <c r="B38" s="16">
        <f t="shared" si="8"/>
        <v>1.7000000000000008</v>
      </c>
      <c r="C38" s="50">
        <f t="shared" si="0"/>
        <v>0.25951557093425581</v>
      </c>
      <c r="D38" s="51">
        <f t="shared" si="1"/>
        <v>0.2</v>
      </c>
      <c r="E38" s="51">
        <f t="shared" si="2"/>
        <v>0.12975778546712791</v>
      </c>
      <c r="F38" s="52">
        <f t="shared" si="3"/>
        <v>0.1</v>
      </c>
      <c r="G38" s="50">
        <f t="shared" si="4"/>
        <v>0.61100346020761187</v>
      </c>
      <c r="H38" s="51">
        <f t="shared" si="5"/>
        <v>0.47088000000000002</v>
      </c>
      <c r="I38" s="51">
        <f t="shared" si="6"/>
        <v>0.30550173010380594</v>
      </c>
      <c r="J38" s="52">
        <f t="shared" si="7"/>
        <v>0.23544000000000001</v>
      </c>
      <c r="K38" s="50">
        <f>IF(AND($B38&gt;=0,$B38&lt;=DATA!$P$28),(1+($B38/DATA!$P$28)*(3*n-1)),IF(AND($B38&gt;=DATA!$P$28,$B38&lt;=DATA!$Q$28),n*3,IF(AND($B38&gt;=DATA!$Q$28,$B38&lt;=DATA!$R$28),n*3*(DATA!$Q$28/$B38),IF(AND($B38&gt;=DATA!$R$28,$B38&lt;=4),3*n*(DATA!$Q$28*DATA!$R$28/$B38^2)))))</f>
        <v>0.15570934256055347</v>
      </c>
      <c r="L38" s="51">
        <f>MAX(0.2,IF(AND($B38&gt;=0,$B38&lt;=DATA!$P$28),((2/3)+($B38/DATA!$P$28)*((3/q_v)-(2/3))),IF(AND($B38&gt;=DATA!$P$28,$B38&lt;=DATA!$Q$28),3/q_v,IF(AND($B38&gt;=DATA!$Q$28,$B38&lt;=DATA!$R$28),(3/q_v)*(DATA!$Q$28/$B38),IF(AND($B38&gt;=DATA!$R$28,$B38&lt;=4),(3/q_v)*(DATA!$Q$28*DATA!$R$28/($B38^2)))))))</f>
        <v>0.2</v>
      </c>
      <c r="M38" s="51">
        <f>v*IF(AND($B38&gt;=0,$B38&lt;=DATA!$P$28),(1+($B38/DATA!$P$28)*(3*n-1)),IF(AND($B38&gt;=DATA!$P$28,$B38&lt;=DATA!$Q$28),n*3,IF(AND($B38&gt;=DATA!$Q$28,$B38&lt;=DATA!$R$28),n*3*(DATA!$Q$28/$B38),IF(AND($B38&gt;=DATA!$R$28,$B38&lt;=4),3*n*(DATA!$Q$28*DATA!$R$28/$B38^2)))))</f>
        <v>7.7854671280276733E-2</v>
      </c>
      <c r="N38" s="52">
        <f>MAX(0.2,v*IF(AND($B38&gt;=0,$B38&lt;=DATA!$P$28),((2/3)+($B38/DATA!$P$28)*((3/q_v)-(2/3))),IF(AND($B38&gt;=DATA!$P$28,$B38&lt;=DATA!$Q$28),3/q_v,IF(AND($B38&gt;=DATA!$Q$28,$B38&lt;=DATA!$R$28),(3/q_v)*(DATA!$Q$28/$B38),IF(AND($B38&gt;=DATA!$R$28,$B38&lt;=4),(3/q_v)*(DATA!$Q$28*DATA!$R$28/($B38^2)))))))</f>
        <v>0.2</v>
      </c>
      <c r="O38" s="50">
        <f>g*avg*IF(AND($B38&gt;=0,$B38&lt;=DATA!$P$28),(1+($B38/DATA!$P$28)*(3*n-1)),IF(AND($B38&gt;=DATA!$P$28,$B38&lt;=DATA!$Q$28),n*3,IF(AND($B38&gt;=DATA!$Q$28,$B38&lt;=DATA!$R$28),n*3*(DATA!$Q$28/$B38),IF(AND($B38&gt;=DATA!$R$28,$B38&lt;=4),3*n*(DATA!$Q$28*DATA!$R$28/$B38^2)))))</f>
        <v>0.16497093425605519</v>
      </c>
      <c r="P38" s="51">
        <f>MAX(0.2*g*avg,g*avg*IF(AND($B38&gt;=0,$B38&lt;=DATA!$P$28),((2/3)+($B38/DATA!$P$28)*((3/q_v)-(2/3))),IF(AND($B38&gt;=DATA!$P$28,$B38&lt;=DATA!$Q$28),3/q_v,IF(AND($B38&gt;=DATA!$Q$28,$B38&lt;=DATA!$R$28),(3/q_v)*(DATA!$Q$28/$B38),IF(AND($B38&gt;=DATA!$R$28,$B38&lt;=4),(3/q_v)*(DATA!$Q$28*DATA!$R$28/($B38^2)))))))</f>
        <v>0.21189600000000003</v>
      </c>
      <c r="Q38" s="51">
        <f>g*avg*v*IF(AND($B38&gt;=0,$B38&lt;=DATA!$P$28),(1+($B38/DATA!$P$28)*(3*n-1)),IF(AND($B38&gt;=DATA!$P$28,$B38&lt;=DATA!$Q$28),n*3,IF(AND($B38&gt;=DATA!$Q$28,$B38&lt;=DATA!$R$28),n*3*(DATA!$Q$28/$B38),IF(AND($B38&gt;=DATA!$R$28,$B38&lt;=4),3*n*(DATA!$Q$28*DATA!$R$28/$B38^2)))))</f>
        <v>8.2485467128027595E-2</v>
      </c>
      <c r="R38" s="52">
        <f>MAX(0.2*g*avg*v,g*avg*v*IF(AND($B38&gt;=0,$B38&lt;=DATA!$P$28),((2/3)+($B38/DATA!$P$28)*((3/q_v)-(2/3))),IF(AND($B38&gt;=DATA!$P$28,$B38&lt;=DATA!$Q$28),3/q_v,IF(AND($B38&gt;=DATA!$Q$28,$B38&lt;=DATA!$R$28),(3/q_v)*(DATA!$Q$28/$B38),IF(AND($B38&gt;=DATA!$R$28,$B38&lt;=4),(3/q_v)*(DATA!$Q$28*DATA!$R$28/($B38^2)))))))</f>
        <v>0.10594800000000001</v>
      </c>
    </row>
    <row r="39" spans="1:18" x14ac:dyDescent="0.25">
      <c r="A39" s="19"/>
      <c r="B39" s="16">
        <f t="shared" si="8"/>
        <v>1.7500000000000009</v>
      </c>
      <c r="C39" s="50">
        <f t="shared" si="0"/>
        <v>0.24489795918367321</v>
      </c>
      <c r="D39" s="51">
        <f t="shared" si="1"/>
        <v>0.2</v>
      </c>
      <c r="E39" s="51">
        <f t="shared" si="2"/>
        <v>0.12244897959183661</v>
      </c>
      <c r="F39" s="52">
        <f t="shared" si="3"/>
        <v>0.1</v>
      </c>
      <c r="G39" s="50">
        <f t="shared" si="4"/>
        <v>0.57658775510204019</v>
      </c>
      <c r="H39" s="51">
        <f t="shared" si="5"/>
        <v>0.47088000000000002</v>
      </c>
      <c r="I39" s="51">
        <f t="shared" si="6"/>
        <v>0.28829387755102009</v>
      </c>
      <c r="J39" s="52">
        <f t="shared" si="7"/>
        <v>0.23544000000000001</v>
      </c>
      <c r="K39" s="50">
        <f>IF(AND($B39&gt;=0,$B39&lt;=DATA!$P$28),(1+($B39/DATA!$P$28)*(3*n-1)),IF(AND($B39&gt;=DATA!$P$28,$B39&lt;=DATA!$Q$28),n*3,IF(AND($B39&gt;=DATA!$Q$28,$B39&lt;=DATA!$R$28),n*3*(DATA!$Q$28/$B39),IF(AND($B39&gt;=DATA!$R$28,$B39&lt;=4),3*n*(DATA!$Q$28*DATA!$R$28/$B39^2)))))</f>
        <v>0.14693877551020393</v>
      </c>
      <c r="L39" s="51">
        <f>MAX(0.2,IF(AND($B39&gt;=0,$B39&lt;=DATA!$P$28),((2/3)+($B39/DATA!$P$28)*((3/q_v)-(2/3))),IF(AND($B39&gt;=DATA!$P$28,$B39&lt;=DATA!$Q$28),3/q_v,IF(AND($B39&gt;=DATA!$Q$28,$B39&lt;=DATA!$R$28),(3/q_v)*(DATA!$Q$28/$B39),IF(AND($B39&gt;=DATA!$R$28,$B39&lt;=4),(3/q_v)*(DATA!$Q$28*DATA!$R$28/($B39^2)))))))</f>
        <v>0.2</v>
      </c>
      <c r="M39" s="51">
        <f>v*IF(AND($B39&gt;=0,$B39&lt;=DATA!$P$28),(1+($B39/DATA!$P$28)*(3*n-1)),IF(AND($B39&gt;=DATA!$P$28,$B39&lt;=DATA!$Q$28),n*3,IF(AND($B39&gt;=DATA!$Q$28,$B39&lt;=DATA!$R$28),n*3*(DATA!$Q$28/$B39),IF(AND($B39&gt;=DATA!$R$28,$B39&lt;=4),3*n*(DATA!$Q$28*DATA!$R$28/$B39^2)))))</f>
        <v>7.3469387755101964E-2</v>
      </c>
      <c r="N39" s="52">
        <f>MAX(0.2,v*IF(AND($B39&gt;=0,$B39&lt;=DATA!$P$28),((2/3)+($B39/DATA!$P$28)*((3/q_v)-(2/3))),IF(AND($B39&gt;=DATA!$P$28,$B39&lt;=DATA!$Q$28),3/q_v,IF(AND($B39&gt;=DATA!$Q$28,$B39&lt;=DATA!$R$28),(3/q_v)*(DATA!$Q$28/$B39),IF(AND($B39&gt;=DATA!$R$28,$B39&lt;=4),(3/q_v)*(DATA!$Q$28*DATA!$R$28/($B39^2)))))))</f>
        <v>0.2</v>
      </c>
      <c r="O39" s="50">
        <f>g*avg*IF(AND($B39&gt;=0,$B39&lt;=DATA!$P$28),(1+($B39/DATA!$P$28)*(3*n-1)),IF(AND($B39&gt;=DATA!$P$28,$B39&lt;=DATA!$Q$28),n*3,IF(AND($B39&gt;=DATA!$Q$28,$B39&lt;=DATA!$R$28),n*3*(DATA!$Q$28/$B39),IF(AND($B39&gt;=DATA!$R$28,$B39&lt;=4),3*n*(DATA!$Q$28*DATA!$R$28/$B39^2)))))</f>
        <v>0.15567869387755084</v>
      </c>
      <c r="P39" s="51">
        <f>MAX(0.2*g*avg,g*avg*IF(AND($B39&gt;=0,$B39&lt;=DATA!$P$28),((2/3)+($B39/DATA!$P$28)*((3/q_v)-(2/3))),IF(AND($B39&gt;=DATA!$P$28,$B39&lt;=DATA!$Q$28),3/q_v,IF(AND($B39&gt;=DATA!$Q$28,$B39&lt;=DATA!$R$28),(3/q_v)*(DATA!$Q$28/$B39),IF(AND($B39&gt;=DATA!$R$28,$B39&lt;=4),(3/q_v)*(DATA!$Q$28*DATA!$R$28/($B39^2)))))))</f>
        <v>0.21189600000000003</v>
      </c>
      <c r="Q39" s="51">
        <f>g*avg*v*IF(AND($B39&gt;=0,$B39&lt;=DATA!$P$28),(1+($B39/DATA!$P$28)*(3*n-1)),IF(AND($B39&gt;=DATA!$P$28,$B39&lt;=DATA!$Q$28),n*3,IF(AND($B39&gt;=DATA!$Q$28,$B39&lt;=DATA!$R$28),n*3*(DATA!$Q$28/$B39),IF(AND($B39&gt;=DATA!$R$28,$B39&lt;=4),3*n*(DATA!$Q$28*DATA!$R$28/$B39^2)))))</f>
        <v>7.7839346938775422E-2</v>
      </c>
      <c r="R39" s="52">
        <f>MAX(0.2*g*avg*v,g*avg*v*IF(AND($B39&gt;=0,$B39&lt;=DATA!$P$28),((2/3)+($B39/DATA!$P$28)*((3/q_v)-(2/3))),IF(AND($B39&gt;=DATA!$P$28,$B39&lt;=DATA!$Q$28),3/q_v,IF(AND($B39&gt;=DATA!$Q$28,$B39&lt;=DATA!$R$28),(3/q_v)*(DATA!$Q$28/$B39),IF(AND($B39&gt;=DATA!$R$28,$B39&lt;=4),(3/q_v)*(DATA!$Q$28*DATA!$R$28/($B39^2)))))))</f>
        <v>0.10594800000000001</v>
      </c>
    </row>
    <row r="40" spans="1:18" x14ac:dyDescent="0.25">
      <c r="A40" s="19"/>
      <c r="B40" s="16">
        <f t="shared" si="8"/>
        <v>1.8000000000000009</v>
      </c>
      <c r="C40" s="50">
        <f t="shared" si="0"/>
        <v>0.23148148148148123</v>
      </c>
      <c r="D40" s="51">
        <f t="shared" si="1"/>
        <v>0.2</v>
      </c>
      <c r="E40" s="51">
        <f t="shared" si="2"/>
        <v>0.11574074074074062</v>
      </c>
      <c r="F40" s="52">
        <f t="shared" si="3"/>
        <v>0.1</v>
      </c>
      <c r="G40" s="50">
        <f t="shared" si="4"/>
        <v>0.54499999999999937</v>
      </c>
      <c r="H40" s="51">
        <f t="shared" si="5"/>
        <v>0.47088000000000002</v>
      </c>
      <c r="I40" s="51">
        <f t="shared" si="6"/>
        <v>0.27249999999999969</v>
      </c>
      <c r="J40" s="52">
        <f t="shared" si="7"/>
        <v>0.23544000000000001</v>
      </c>
      <c r="K40" s="50">
        <f>IF(AND($B40&gt;=0,$B40&lt;=DATA!$P$28),(1+($B40/DATA!$P$28)*(3*n-1)),IF(AND($B40&gt;=DATA!$P$28,$B40&lt;=DATA!$Q$28),n*3,IF(AND($B40&gt;=DATA!$Q$28,$B40&lt;=DATA!$R$28),n*3*(DATA!$Q$28/$B40),IF(AND($B40&gt;=DATA!$R$28,$B40&lt;=4),3*n*(DATA!$Q$28*DATA!$R$28/$B40^2)))))</f>
        <v>0.13888888888888873</v>
      </c>
      <c r="L40" s="51">
        <f>MAX(0.2,IF(AND($B40&gt;=0,$B40&lt;=DATA!$P$28),((2/3)+($B40/DATA!$P$28)*((3/q_v)-(2/3))),IF(AND($B40&gt;=DATA!$P$28,$B40&lt;=DATA!$Q$28),3/q_v,IF(AND($B40&gt;=DATA!$Q$28,$B40&lt;=DATA!$R$28),(3/q_v)*(DATA!$Q$28/$B40),IF(AND($B40&gt;=DATA!$R$28,$B40&lt;=4),(3/q_v)*(DATA!$Q$28*DATA!$R$28/($B40^2)))))))</f>
        <v>0.2</v>
      </c>
      <c r="M40" s="51">
        <f>v*IF(AND($B40&gt;=0,$B40&lt;=DATA!$P$28),(1+($B40/DATA!$P$28)*(3*n-1)),IF(AND($B40&gt;=DATA!$P$28,$B40&lt;=DATA!$Q$28),n*3,IF(AND($B40&gt;=DATA!$Q$28,$B40&lt;=DATA!$R$28),n*3*(DATA!$Q$28/$B40),IF(AND($B40&gt;=DATA!$R$28,$B40&lt;=4),3*n*(DATA!$Q$28*DATA!$R$28/$B40^2)))))</f>
        <v>6.9444444444444364E-2</v>
      </c>
      <c r="N40" s="52">
        <f>MAX(0.2,v*IF(AND($B40&gt;=0,$B40&lt;=DATA!$P$28),((2/3)+($B40/DATA!$P$28)*((3/q_v)-(2/3))),IF(AND($B40&gt;=DATA!$P$28,$B40&lt;=DATA!$Q$28),3/q_v,IF(AND($B40&gt;=DATA!$Q$28,$B40&lt;=DATA!$R$28),(3/q_v)*(DATA!$Q$28/$B40),IF(AND($B40&gt;=DATA!$R$28,$B40&lt;=4),(3/q_v)*(DATA!$Q$28*DATA!$R$28/($B40^2)))))))</f>
        <v>0.2</v>
      </c>
      <c r="O40" s="50">
        <f>g*avg*IF(AND($B40&gt;=0,$B40&lt;=DATA!$P$28),(1+($B40/DATA!$P$28)*(3*n-1)),IF(AND($B40&gt;=DATA!$P$28,$B40&lt;=DATA!$Q$28),n*3,IF(AND($B40&gt;=DATA!$Q$28,$B40&lt;=DATA!$R$28),n*3*(DATA!$Q$28/$B40),IF(AND($B40&gt;=DATA!$R$28,$B40&lt;=4),3*n*(DATA!$Q$28*DATA!$R$28/$B40^2)))))</f>
        <v>0.14714999999999984</v>
      </c>
      <c r="P40" s="51">
        <f>MAX(0.2*g*avg,g*avg*IF(AND($B40&gt;=0,$B40&lt;=DATA!$P$28),((2/3)+($B40/DATA!$P$28)*((3/q_v)-(2/3))),IF(AND($B40&gt;=DATA!$P$28,$B40&lt;=DATA!$Q$28),3/q_v,IF(AND($B40&gt;=DATA!$Q$28,$B40&lt;=DATA!$R$28),(3/q_v)*(DATA!$Q$28/$B40),IF(AND($B40&gt;=DATA!$R$28,$B40&lt;=4),(3/q_v)*(DATA!$Q$28*DATA!$R$28/($B40^2)))))))</f>
        <v>0.21189600000000003</v>
      </c>
      <c r="Q40" s="51">
        <f>g*avg*v*IF(AND($B40&gt;=0,$B40&lt;=DATA!$P$28),(1+($B40/DATA!$P$28)*(3*n-1)),IF(AND($B40&gt;=DATA!$P$28,$B40&lt;=DATA!$Q$28),n*3,IF(AND($B40&gt;=DATA!$Q$28,$B40&lt;=DATA!$R$28),n*3*(DATA!$Q$28/$B40),IF(AND($B40&gt;=DATA!$R$28,$B40&lt;=4),3*n*(DATA!$Q$28*DATA!$R$28/$B40^2)))))</f>
        <v>7.3574999999999918E-2</v>
      </c>
      <c r="R40" s="52">
        <f>MAX(0.2*g*avg*v,g*avg*v*IF(AND($B40&gt;=0,$B40&lt;=DATA!$P$28),((2/3)+($B40/DATA!$P$28)*((3/q_v)-(2/3))),IF(AND($B40&gt;=DATA!$P$28,$B40&lt;=DATA!$Q$28),3/q_v,IF(AND($B40&gt;=DATA!$Q$28,$B40&lt;=DATA!$R$28),(3/q_v)*(DATA!$Q$28/$B40),IF(AND($B40&gt;=DATA!$R$28,$B40&lt;=4),(3/q_v)*(DATA!$Q$28*DATA!$R$28/($B40^2)))))))</f>
        <v>0.10594800000000001</v>
      </c>
    </row>
    <row r="41" spans="1:18" x14ac:dyDescent="0.25">
      <c r="A41" s="19"/>
      <c r="B41" s="16">
        <f t="shared" si="8"/>
        <v>1.850000000000001</v>
      </c>
      <c r="C41" s="50">
        <f t="shared" si="0"/>
        <v>0.21913805697589461</v>
      </c>
      <c r="D41" s="51">
        <f t="shared" si="1"/>
        <v>0.2</v>
      </c>
      <c r="E41" s="51">
        <f t="shared" si="2"/>
        <v>0.10956902848794731</v>
      </c>
      <c r="F41" s="52">
        <f t="shared" si="3"/>
        <v>0.1</v>
      </c>
      <c r="G41" s="50">
        <f t="shared" si="4"/>
        <v>0.51593864134404632</v>
      </c>
      <c r="H41" s="51">
        <f t="shared" si="5"/>
        <v>0.47088000000000002</v>
      </c>
      <c r="I41" s="51">
        <f t="shared" si="6"/>
        <v>0.25796932067202316</v>
      </c>
      <c r="J41" s="52">
        <f t="shared" si="7"/>
        <v>0.23544000000000001</v>
      </c>
      <c r="K41" s="50">
        <f>IF(AND($B41&gt;=0,$B41&lt;=DATA!$P$28),(1+($B41/DATA!$P$28)*(3*n-1)),IF(AND($B41&gt;=DATA!$P$28,$B41&lt;=DATA!$Q$28),n*3,IF(AND($B41&gt;=DATA!$Q$28,$B41&lt;=DATA!$R$28),n*3*(DATA!$Q$28/$B41),IF(AND($B41&gt;=DATA!$R$28,$B41&lt;=4),3*n*(DATA!$Q$28*DATA!$R$28/$B41^2)))))</f>
        <v>0.13148283418553675</v>
      </c>
      <c r="L41" s="51">
        <f>MAX(0.2,IF(AND($B41&gt;=0,$B41&lt;=DATA!$P$28),((2/3)+($B41/DATA!$P$28)*((3/q_v)-(2/3))),IF(AND($B41&gt;=DATA!$P$28,$B41&lt;=DATA!$Q$28),3/q_v,IF(AND($B41&gt;=DATA!$Q$28,$B41&lt;=DATA!$R$28),(3/q_v)*(DATA!$Q$28/$B41),IF(AND($B41&gt;=DATA!$R$28,$B41&lt;=4),(3/q_v)*(DATA!$Q$28*DATA!$R$28/($B41^2)))))))</f>
        <v>0.2</v>
      </c>
      <c r="M41" s="51">
        <f>v*IF(AND($B41&gt;=0,$B41&lt;=DATA!$P$28),(1+($B41/DATA!$P$28)*(3*n-1)),IF(AND($B41&gt;=DATA!$P$28,$B41&lt;=DATA!$Q$28),n*3,IF(AND($B41&gt;=DATA!$Q$28,$B41&lt;=DATA!$R$28),n*3*(DATA!$Q$28/$B41),IF(AND($B41&gt;=DATA!$R$28,$B41&lt;=4),3*n*(DATA!$Q$28*DATA!$R$28/$B41^2)))))</f>
        <v>6.5741417092768373E-2</v>
      </c>
      <c r="N41" s="52">
        <f>MAX(0.2,v*IF(AND($B41&gt;=0,$B41&lt;=DATA!$P$28),((2/3)+($B41/DATA!$P$28)*((3/q_v)-(2/3))),IF(AND($B41&gt;=DATA!$P$28,$B41&lt;=DATA!$Q$28),3/q_v,IF(AND($B41&gt;=DATA!$Q$28,$B41&lt;=DATA!$R$28),(3/q_v)*(DATA!$Q$28/$B41),IF(AND($B41&gt;=DATA!$R$28,$B41&lt;=4),(3/q_v)*(DATA!$Q$28*DATA!$R$28/($B41^2)))))))</f>
        <v>0.2</v>
      </c>
      <c r="O41" s="50">
        <f>g*avg*IF(AND($B41&gt;=0,$B41&lt;=DATA!$P$28),(1+($B41/DATA!$P$28)*(3*n-1)),IF(AND($B41&gt;=DATA!$P$28,$B41&lt;=DATA!$Q$28),n*3,IF(AND($B41&gt;=DATA!$Q$28,$B41&lt;=DATA!$R$28),n*3*(DATA!$Q$28/$B41),IF(AND($B41&gt;=DATA!$R$28,$B41&lt;=4),3*n*(DATA!$Q$28*DATA!$R$28/$B41^2)))))</f>
        <v>0.13930343316289248</v>
      </c>
      <c r="P41" s="51">
        <f>MAX(0.2*g*avg,g*avg*IF(AND($B41&gt;=0,$B41&lt;=DATA!$P$28),((2/3)+($B41/DATA!$P$28)*((3/q_v)-(2/3))),IF(AND($B41&gt;=DATA!$P$28,$B41&lt;=DATA!$Q$28),3/q_v,IF(AND($B41&gt;=DATA!$Q$28,$B41&lt;=DATA!$R$28),(3/q_v)*(DATA!$Q$28/$B41),IF(AND($B41&gt;=DATA!$R$28,$B41&lt;=4),(3/q_v)*(DATA!$Q$28*DATA!$R$28/($B41^2)))))))</f>
        <v>0.21189600000000003</v>
      </c>
      <c r="Q41" s="51">
        <f>g*avg*v*IF(AND($B41&gt;=0,$B41&lt;=DATA!$P$28),(1+($B41/DATA!$P$28)*(3*n-1)),IF(AND($B41&gt;=DATA!$P$28,$B41&lt;=DATA!$Q$28),n*3,IF(AND($B41&gt;=DATA!$Q$28,$B41&lt;=DATA!$R$28),n*3*(DATA!$Q$28/$B41),IF(AND($B41&gt;=DATA!$R$28,$B41&lt;=4),3*n*(DATA!$Q$28*DATA!$R$28/$B41^2)))))</f>
        <v>6.9651716581446241E-2</v>
      </c>
      <c r="R41" s="52">
        <f>MAX(0.2*g*avg*v,g*avg*v*IF(AND($B41&gt;=0,$B41&lt;=DATA!$P$28),((2/3)+($B41/DATA!$P$28)*((3/q_v)-(2/3))),IF(AND($B41&gt;=DATA!$P$28,$B41&lt;=DATA!$Q$28),3/q_v,IF(AND($B41&gt;=DATA!$Q$28,$B41&lt;=DATA!$R$28),(3/q_v)*(DATA!$Q$28/$B41),IF(AND($B41&gt;=DATA!$R$28,$B41&lt;=4),(3/q_v)*(DATA!$Q$28*DATA!$R$28/($B41^2)))))))</f>
        <v>0.10594800000000001</v>
      </c>
    </row>
    <row r="42" spans="1:18" x14ac:dyDescent="0.25">
      <c r="A42" s="19"/>
      <c r="B42" s="16">
        <f t="shared" si="8"/>
        <v>1.900000000000001</v>
      </c>
      <c r="C42" s="50">
        <f t="shared" si="0"/>
        <v>0.2077562326869804</v>
      </c>
      <c r="D42" s="51">
        <f t="shared" si="1"/>
        <v>0.2</v>
      </c>
      <c r="E42" s="51">
        <f t="shared" si="2"/>
        <v>0.1038781163434902</v>
      </c>
      <c r="F42" s="52">
        <f t="shared" si="3"/>
        <v>0.1</v>
      </c>
      <c r="G42" s="50">
        <f t="shared" si="4"/>
        <v>0.48914127423822668</v>
      </c>
      <c r="H42" s="51">
        <f t="shared" si="5"/>
        <v>0.47088000000000002</v>
      </c>
      <c r="I42" s="51">
        <f t="shared" si="6"/>
        <v>0.24457063711911334</v>
      </c>
      <c r="J42" s="52">
        <f t="shared" si="7"/>
        <v>0.23544000000000001</v>
      </c>
      <c r="K42" s="50">
        <f>IF(AND($B42&gt;=0,$B42&lt;=DATA!$P$28),(1+($B42/DATA!$P$28)*(3*n-1)),IF(AND($B42&gt;=DATA!$P$28,$B42&lt;=DATA!$Q$28),n*3,IF(AND($B42&gt;=DATA!$Q$28,$B42&lt;=DATA!$R$28),n*3*(DATA!$Q$28/$B42),IF(AND($B42&gt;=DATA!$R$28,$B42&lt;=4),3*n*(DATA!$Q$28*DATA!$R$28/$B42^2)))))</f>
        <v>0.12465373961218823</v>
      </c>
      <c r="L42" s="51">
        <f>MAX(0.2,IF(AND($B42&gt;=0,$B42&lt;=DATA!$P$28),((2/3)+($B42/DATA!$P$28)*((3/q_v)-(2/3))),IF(AND($B42&gt;=DATA!$P$28,$B42&lt;=DATA!$Q$28),3/q_v,IF(AND($B42&gt;=DATA!$Q$28,$B42&lt;=DATA!$R$28),(3/q_v)*(DATA!$Q$28/$B42),IF(AND($B42&gt;=DATA!$R$28,$B42&lt;=4),(3/q_v)*(DATA!$Q$28*DATA!$R$28/($B42^2)))))))</f>
        <v>0.2</v>
      </c>
      <c r="M42" s="51">
        <f>v*IF(AND($B42&gt;=0,$B42&lt;=DATA!$P$28),(1+($B42/DATA!$P$28)*(3*n-1)),IF(AND($B42&gt;=DATA!$P$28,$B42&lt;=DATA!$Q$28),n*3,IF(AND($B42&gt;=DATA!$Q$28,$B42&lt;=DATA!$R$28),n*3*(DATA!$Q$28/$B42),IF(AND($B42&gt;=DATA!$R$28,$B42&lt;=4),3*n*(DATA!$Q$28*DATA!$R$28/$B42^2)))))</f>
        <v>6.2326869806094115E-2</v>
      </c>
      <c r="N42" s="52">
        <f>MAX(0.2,v*IF(AND($B42&gt;=0,$B42&lt;=DATA!$P$28),((2/3)+($B42/DATA!$P$28)*((3/q_v)-(2/3))),IF(AND($B42&gt;=DATA!$P$28,$B42&lt;=DATA!$Q$28),3/q_v,IF(AND($B42&gt;=DATA!$Q$28,$B42&lt;=DATA!$R$28),(3/q_v)*(DATA!$Q$28/$B42),IF(AND($B42&gt;=DATA!$R$28,$B42&lt;=4),(3/q_v)*(DATA!$Q$28*DATA!$R$28/($B42^2)))))))</f>
        <v>0.2</v>
      </c>
      <c r="O42" s="50">
        <f>g*avg*IF(AND($B42&gt;=0,$B42&lt;=DATA!$P$28),(1+($B42/DATA!$P$28)*(3*n-1)),IF(AND($B42&gt;=DATA!$P$28,$B42&lt;=DATA!$Q$28),n*3,IF(AND($B42&gt;=DATA!$Q$28,$B42&lt;=DATA!$R$28),n*3*(DATA!$Q$28/$B42),IF(AND($B42&gt;=DATA!$R$28,$B42&lt;=4),3*n*(DATA!$Q$28*DATA!$R$28/$B42^2)))))</f>
        <v>0.13206814404432118</v>
      </c>
      <c r="P42" s="51">
        <f>MAX(0.2*g*avg,g*avg*IF(AND($B42&gt;=0,$B42&lt;=DATA!$P$28),((2/3)+($B42/DATA!$P$28)*((3/q_v)-(2/3))),IF(AND($B42&gt;=DATA!$P$28,$B42&lt;=DATA!$Q$28),3/q_v,IF(AND($B42&gt;=DATA!$Q$28,$B42&lt;=DATA!$R$28),(3/q_v)*(DATA!$Q$28/$B42),IF(AND($B42&gt;=DATA!$R$28,$B42&lt;=4),(3/q_v)*(DATA!$Q$28*DATA!$R$28/($B42^2)))))))</f>
        <v>0.21189600000000003</v>
      </c>
      <c r="Q42" s="51">
        <f>g*avg*v*IF(AND($B42&gt;=0,$B42&lt;=DATA!$P$28),(1+($B42/DATA!$P$28)*(3*n-1)),IF(AND($B42&gt;=DATA!$P$28,$B42&lt;=DATA!$Q$28),n*3,IF(AND($B42&gt;=DATA!$Q$28,$B42&lt;=DATA!$R$28),n*3*(DATA!$Q$28/$B42),IF(AND($B42&gt;=DATA!$R$28,$B42&lt;=4),3*n*(DATA!$Q$28*DATA!$R$28/$B42^2)))))</f>
        <v>6.6034072022160592E-2</v>
      </c>
      <c r="R42" s="52">
        <f>MAX(0.2*g*avg*v,g*avg*v*IF(AND($B42&gt;=0,$B42&lt;=DATA!$P$28),((2/3)+($B42/DATA!$P$28)*((3/q_v)-(2/3))),IF(AND($B42&gt;=DATA!$P$28,$B42&lt;=DATA!$Q$28),3/q_v,IF(AND($B42&gt;=DATA!$Q$28,$B42&lt;=DATA!$R$28),(3/q_v)*(DATA!$Q$28/$B42),IF(AND($B42&gt;=DATA!$R$28,$B42&lt;=4),(3/q_v)*(DATA!$Q$28*DATA!$R$28/($B42^2)))))))</f>
        <v>0.10594800000000001</v>
      </c>
    </row>
    <row r="43" spans="1:18" x14ac:dyDescent="0.25">
      <c r="A43" s="19"/>
      <c r="B43" s="16">
        <f t="shared" si="8"/>
        <v>1.9500000000000011</v>
      </c>
      <c r="C43" s="50">
        <f t="shared" si="0"/>
        <v>0.19723865877712007</v>
      </c>
      <c r="D43" s="51">
        <f t="shared" si="1"/>
        <v>0.2</v>
      </c>
      <c r="E43" s="51">
        <f t="shared" si="2"/>
        <v>9.8619329388560037E-2</v>
      </c>
      <c r="F43" s="52">
        <f t="shared" si="3"/>
        <v>0.1</v>
      </c>
      <c r="G43" s="50">
        <f t="shared" si="4"/>
        <v>0.4643786982248515</v>
      </c>
      <c r="H43" s="51">
        <f t="shared" si="5"/>
        <v>0.47088000000000002</v>
      </c>
      <c r="I43" s="51">
        <f t="shared" si="6"/>
        <v>0.23218934911242575</v>
      </c>
      <c r="J43" s="52">
        <f t="shared" si="7"/>
        <v>0.23544000000000001</v>
      </c>
      <c r="K43" s="50">
        <f>IF(AND($B43&gt;=0,$B43&lt;=DATA!$P$28),(1+($B43/DATA!$P$28)*(3*n-1)),IF(AND($B43&gt;=DATA!$P$28,$B43&lt;=DATA!$Q$28),n*3,IF(AND($B43&gt;=DATA!$Q$28,$B43&lt;=DATA!$R$28),n*3*(DATA!$Q$28/$B43),IF(AND($B43&gt;=DATA!$R$28,$B43&lt;=4),3*n*(DATA!$Q$28*DATA!$R$28/$B43^2)))))</f>
        <v>0.11834319526627204</v>
      </c>
      <c r="L43" s="51">
        <f>MAX(0.2,IF(AND($B43&gt;=0,$B43&lt;=DATA!$P$28),((2/3)+($B43/DATA!$P$28)*((3/q_v)-(2/3))),IF(AND($B43&gt;=DATA!$P$28,$B43&lt;=DATA!$Q$28),3/q_v,IF(AND($B43&gt;=DATA!$Q$28,$B43&lt;=DATA!$R$28),(3/q_v)*(DATA!$Q$28/$B43),IF(AND($B43&gt;=DATA!$R$28,$B43&lt;=4),(3/q_v)*(DATA!$Q$28*DATA!$R$28/($B43^2)))))))</f>
        <v>0.2</v>
      </c>
      <c r="M43" s="51">
        <f>v*IF(AND($B43&gt;=0,$B43&lt;=DATA!$P$28),(1+($B43/DATA!$P$28)*(3*n-1)),IF(AND($B43&gt;=DATA!$P$28,$B43&lt;=DATA!$Q$28),n*3,IF(AND($B43&gt;=DATA!$Q$28,$B43&lt;=DATA!$R$28),n*3*(DATA!$Q$28/$B43),IF(AND($B43&gt;=DATA!$R$28,$B43&lt;=4),3*n*(DATA!$Q$28*DATA!$R$28/$B43^2)))))</f>
        <v>5.9171597633136022E-2</v>
      </c>
      <c r="N43" s="52">
        <f>MAX(0.2,v*IF(AND($B43&gt;=0,$B43&lt;=DATA!$P$28),((2/3)+($B43/DATA!$P$28)*((3/q_v)-(2/3))),IF(AND($B43&gt;=DATA!$P$28,$B43&lt;=DATA!$Q$28),3/q_v,IF(AND($B43&gt;=DATA!$Q$28,$B43&lt;=DATA!$R$28),(3/q_v)*(DATA!$Q$28/$B43),IF(AND($B43&gt;=DATA!$R$28,$B43&lt;=4),(3/q_v)*(DATA!$Q$28*DATA!$R$28/($B43^2)))))))</f>
        <v>0.2</v>
      </c>
      <c r="O43" s="50">
        <f>g*avg*IF(AND($B43&gt;=0,$B43&lt;=DATA!$P$28),(1+($B43/DATA!$P$28)*(3*n-1)),IF(AND($B43&gt;=DATA!$P$28,$B43&lt;=DATA!$Q$28),n*3,IF(AND($B43&gt;=DATA!$Q$28,$B43&lt;=DATA!$R$28),n*3*(DATA!$Q$28/$B43),IF(AND($B43&gt;=DATA!$R$28,$B43&lt;=4),3*n*(DATA!$Q$28*DATA!$R$28/$B43^2)))))</f>
        <v>0.12538224852070989</v>
      </c>
      <c r="P43" s="51">
        <f>MAX(0.2*g*avg,g*avg*IF(AND($B43&gt;=0,$B43&lt;=DATA!$P$28),((2/3)+($B43/DATA!$P$28)*((3/q_v)-(2/3))),IF(AND($B43&gt;=DATA!$P$28,$B43&lt;=DATA!$Q$28),3/q_v,IF(AND($B43&gt;=DATA!$Q$28,$B43&lt;=DATA!$R$28),(3/q_v)*(DATA!$Q$28/$B43),IF(AND($B43&gt;=DATA!$R$28,$B43&lt;=4),(3/q_v)*(DATA!$Q$28*DATA!$R$28/($B43^2)))))))</f>
        <v>0.21189600000000003</v>
      </c>
      <c r="Q43" s="51">
        <f>g*avg*v*IF(AND($B43&gt;=0,$B43&lt;=DATA!$P$28),(1+($B43/DATA!$P$28)*(3*n-1)),IF(AND($B43&gt;=DATA!$P$28,$B43&lt;=DATA!$Q$28),n*3,IF(AND($B43&gt;=DATA!$Q$28,$B43&lt;=DATA!$R$28),n*3*(DATA!$Q$28/$B43),IF(AND($B43&gt;=DATA!$R$28,$B43&lt;=4),3*n*(DATA!$Q$28*DATA!$R$28/$B43^2)))))</f>
        <v>6.2691124260354947E-2</v>
      </c>
      <c r="R43" s="52">
        <f>MAX(0.2*g*avg*v,g*avg*v*IF(AND($B43&gt;=0,$B43&lt;=DATA!$P$28),((2/3)+($B43/DATA!$P$28)*((3/q_v)-(2/3))),IF(AND($B43&gt;=DATA!$P$28,$B43&lt;=DATA!$Q$28),3/q_v,IF(AND($B43&gt;=DATA!$Q$28,$B43&lt;=DATA!$R$28),(3/q_v)*(DATA!$Q$28/$B43),IF(AND($B43&gt;=DATA!$R$28,$B43&lt;=4),(3/q_v)*(DATA!$Q$28*DATA!$R$28/($B43^2)))))))</f>
        <v>0.10594800000000001</v>
      </c>
    </row>
    <row r="44" spans="1:18" x14ac:dyDescent="0.25">
      <c r="A44" s="19"/>
      <c r="B44" s="16">
        <f t="shared" si="8"/>
        <v>2.0000000000000009</v>
      </c>
      <c r="C44" s="50">
        <f t="shared" si="0"/>
        <v>0.18749999999999983</v>
      </c>
      <c r="D44" s="51">
        <f t="shared" si="1"/>
        <v>0.2</v>
      </c>
      <c r="E44" s="51">
        <f t="shared" si="2"/>
        <v>9.3749999999999917E-2</v>
      </c>
      <c r="F44" s="52">
        <f t="shared" si="3"/>
        <v>0.1</v>
      </c>
      <c r="G44" s="50">
        <f t="shared" si="4"/>
        <v>0.44144999999999962</v>
      </c>
      <c r="H44" s="51">
        <f t="shared" si="5"/>
        <v>0.47088000000000002</v>
      </c>
      <c r="I44" s="51">
        <f t="shared" si="6"/>
        <v>0.22072499999999981</v>
      </c>
      <c r="J44" s="52">
        <f t="shared" si="7"/>
        <v>0.23544000000000001</v>
      </c>
      <c r="K44" s="50">
        <f>IF(AND($B44&gt;=0,$B44&lt;=DATA!$P$28),(1+($B44/DATA!$P$28)*(3*n-1)),IF(AND($B44&gt;=DATA!$P$28,$B44&lt;=DATA!$Q$28),n*3,IF(AND($B44&gt;=DATA!$Q$28,$B44&lt;=DATA!$R$28),n*3*(DATA!$Q$28/$B44),IF(AND($B44&gt;=DATA!$R$28,$B44&lt;=4),3*n*(DATA!$Q$28*DATA!$R$28/$B44^2)))))</f>
        <v>0.11249999999999989</v>
      </c>
      <c r="L44" s="51">
        <f>MAX(0.2,IF(AND($B44&gt;=0,$B44&lt;=DATA!$P$28),((2/3)+($B44/DATA!$P$28)*((3/q_v)-(2/3))),IF(AND($B44&gt;=DATA!$P$28,$B44&lt;=DATA!$Q$28),3/q_v,IF(AND($B44&gt;=DATA!$Q$28,$B44&lt;=DATA!$R$28),(3/q_v)*(DATA!$Q$28/$B44),IF(AND($B44&gt;=DATA!$R$28,$B44&lt;=4),(3/q_v)*(DATA!$Q$28*DATA!$R$28/($B44^2)))))))</f>
        <v>0.2</v>
      </c>
      <c r="M44" s="51">
        <f>v*IF(AND($B44&gt;=0,$B44&lt;=DATA!$P$28),(1+($B44/DATA!$P$28)*(3*n-1)),IF(AND($B44&gt;=DATA!$P$28,$B44&lt;=DATA!$Q$28),n*3,IF(AND($B44&gt;=DATA!$Q$28,$B44&lt;=DATA!$R$28),n*3*(DATA!$Q$28/$B44),IF(AND($B44&gt;=DATA!$R$28,$B44&lt;=4),3*n*(DATA!$Q$28*DATA!$R$28/$B44^2)))))</f>
        <v>5.6249999999999946E-2</v>
      </c>
      <c r="N44" s="52">
        <f>MAX(0.2,v*IF(AND($B44&gt;=0,$B44&lt;=DATA!$P$28),((2/3)+($B44/DATA!$P$28)*((3/q_v)-(2/3))),IF(AND($B44&gt;=DATA!$P$28,$B44&lt;=DATA!$Q$28),3/q_v,IF(AND($B44&gt;=DATA!$Q$28,$B44&lt;=DATA!$R$28),(3/q_v)*(DATA!$Q$28/$B44),IF(AND($B44&gt;=DATA!$R$28,$B44&lt;=4),(3/q_v)*(DATA!$Q$28*DATA!$R$28/($B44^2)))))))</f>
        <v>0.2</v>
      </c>
      <c r="O44" s="50">
        <f>g*avg*IF(AND($B44&gt;=0,$B44&lt;=DATA!$P$28),(1+($B44/DATA!$P$28)*(3*n-1)),IF(AND($B44&gt;=DATA!$P$28,$B44&lt;=DATA!$Q$28),n*3,IF(AND($B44&gt;=DATA!$Q$28,$B44&lt;=DATA!$R$28),n*3*(DATA!$Q$28/$B44),IF(AND($B44&gt;=DATA!$R$28,$B44&lt;=4),3*n*(DATA!$Q$28*DATA!$R$28/$B44^2)))))</f>
        <v>0.11919149999999988</v>
      </c>
      <c r="P44" s="51">
        <f>MAX(0.2*g*avg,g*avg*IF(AND($B44&gt;=0,$B44&lt;=DATA!$P$28),((2/3)+($B44/DATA!$P$28)*((3/q_v)-(2/3))),IF(AND($B44&gt;=DATA!$P$28,$B44&lt;=DATA!$Q$28),3/q_v,IF(AND($B44&gt;=DATA!$Q$28,$B44&lt;=DATA!$R$28),(3/q_v)*(DATA!$Q$28/$B44),IF(AND($B44&gt;=DATA!$R$28,$B44&lt;=4),(3/q_v)*(DATA!$Q$28*DATA!$R$28/($B44^2)))))))</f>
        <v>0.21189600000000003</v>
      </c>
      <c r="Q44" s="51">
        <f>g*avg*v*IF(AND($B44&gt;=0,$B44&lt;=DATA!$P$28),(1+($B44/DATA!$P$28)*(3*n-1)),IF(AND($B44&gt;=DATA!$P$28,$B44&lt;=DATA!$Q$28),n*3,IF(AND($B44&gt;=DATA!$Q$28,$B44&lt;=DATA!$R$28),n*3*(DATA!$Q$28/$B44),IF(AND($B44&gt;=DATA!$R$28,$B44&lt;=4),3*n*(DATA!$Q$28*DATA!$R$28/$B44^2)))))</f>
        <v>5.959574999999994E-2</v>
      </c>
      <c r="R44" s="52">
        <f>MAX(0.2*g*avg*v,g*avg*v*IF(AND($B44&gt;=0,$B44&lt;=DATA!$P$28),((2/3)+($B44/DATA!$P$28)*((3/q_v)-(2/3))),IF(AND($B44&gt;=DATA!$P$28,$B44&lt;=DATA!$Q$28),3/q_v,IF(AND($B44&gt;=DATA!$Q$28,$B44&lt;=DATA!$R$28),(3/q_v)*(DATA!$Q$28/$B44),IF(AND($B44&gt;=DATA!$R$28,$B44&lt;=4),(3/q_v)*(DATA!$Q$28*DATA!$R$28/($B44^2)))))))</f>
        <v>0.10594800000000001</v>
      </c>
    </row>
    <row r="45" spans="1:18" x14ac:dyDescent="0.25">
      <c r="A45" s="19"/>
      <c r="B45" s="16">
        <f t="shared" si="8"/>
        <v>2.0500000000000007</v>
      </c>
      <c r="C45" s="50">
        <f t="shared" si="0"/>
        <v>0.17846519928613908</v>
      </c>
      <c r="D45" s="51">
        <f t="shared" si="1"/>
        <v>0.2</v>
      </c>
      <c r="E45" s="51">
        <f t="shared" si="2"/>
        <v>8.9232599643069538E-2</v>
      </c>
      <c r="F45" s="52">
        <f t="shared" si="3"/>
        <v>0.1</v>
      </c>
      <c r="G45" s="50">
        <f t="shared" si="4"/>
        <v>0.42017846519928587</v>
      </c>
      <c r="H45" s="51">
        <f t="shared" si="5"/>
        <v>0.47088000000000002</v>
      </c>
      <c r="I45" s="51">
        <f t="shared" si="6"/>
        <v>0.21008923259964293</v>
      </c>
      <c r="J45" s="52">
        <f t="shared" si="7"/>
        <v>0.23544000000000001</v>
      </c>
      <c r="K45" s="50">
        <f>IF(AND($B45&gt;=0,$B45&lt;=DATA!$P$28),(1+($B45/DATA!$P$28)*(3*n-1)),IF(AND($B45&gt;=DATA!$P$28,$B45&lt;=DATA!$Q$28),n*3,IF(AND($B45&gt;=DATA!$Q$28,$B45&lt;=DATA!$R$28),n*3*(DATA!$Q$28/$B45),IF(AND($B45&gt;=DATA!$R$28,$B45&lt;=4),3*n*(DATA!$Q$28*DATA!$R$28/$B45^2)))))</f>
        <v>0.10707911957168344</v>
      </c>
      <c r="L45" s="51">
        <f>MAX(0.2,IF(AND($B45&gt;=0,$B45&lt;=DATA!$P$28),((2/3)+($B45/DATA!$P$28)*((3/q_v)-(2/3))),IF(AND($B45&gt;=DATA!$P$28,$B45&lt;=DATA!$Q$28),3/q_v,IF(AND($B45&gt;=DATA!$Q$28,$B45&lt;=DATA!$R$28),(3/q_v)*(DATA!$Q$28/$B45),IF(AND($B45&gt;=DATA!$R$28,$B45&lt;=4),(3/q_v)*(DATA!$Q$28*DATA!$R$28/($B45^2)))))))</f>
        <v>0.2</v>
      </c>
      <c r="M45" s="51">
        <f>v*IF(AND($B45&gt;=0,$B45&lt;=DATA!$P$28),(1+($B45/DATA!$P$28)*(3*n-1)),IF(AND($B45&gt;=DATA!$P$28,$B45&lt;=DATA!$Q$28),n*3,IF(AND($B45&gt;=DATA!$Q$28,$B45&lt;=DATA!$R$28),n*3*(DATA!$Q$28/$B45),IF(AND($B45&gt;=DATA!$R$28,$B45&lt;=4),3*n*(DATA!$Q$28*DATA!$R$28/$B45^2)))))</f>
        <v>5.3539559785841719E-2</v>
      </c>
      <c r="N45" s="52">
        <f>MAX(0.2,v*IF(AND($B45&gt;=0,$B45&lt;=DATA!$P$28),((2/3)+($B45/DATA!$P$28)*((3/q_v)-(2/3))),IF(AND($B45&gt;=DATA!$P$28,$B45&lt;=DATA!$Q$28),3/q_v,IF(AND($B45&gt;=DATA!$Q$28,$B45&lt;=DATA!$R$28),(3/q_v)*(DATA!$Q$28/$B45),IF(AND($B45&gt;=DATA!$R$28,$B45&lt;=4),(3/q_v)*(DATA!$Q$28*DATA!$R$28/($B45^2)))))))</f>
        <v>0.2</v>
      </c>
      <c r="O45" s="50">
        <f>g*avg*IF(AND($B45&gt;=0,$B45&lt;=DATA!$P$28),(1+($B45/DATA!$P$28)*(3*n-1)),IF(AND($B45&gt;=DATA!$P$28,$B45&lt;=DATA!$Q$28),n*3,IF(AND($B45&gt;=DATA!$Q$28,$B45&lt;=DATA!$R$28),n*3*(DATA!$Q$28/$B45),IF(AND($B45&gt;=DATA!$R$28,$B45&lt;=4),3*n*(DATA!$Q$28*DATA!$R$28/$B45^2)))))</f>
        <v>0.11344818560380716</v>
      </c>
      <c r="P45" s="51">
        <f>MAX(0.2*g*avg,g*avg*IF(AND($B45&gt;=0,$B45&lt;=DATA!$P$28),((2/3)+($B45/DATA!$P$28)*((3/q_v)-(2/3))),IF(AND($B45&gt;=DATA!$P$28,$B45&lt;=DATA!$Q$28),3/q_v,IF(AND($B45&gt;=DATA!$Q$28,$B45&lt;=DATA!$R$28),(3/q_v)*(DATA!$Q$28/$B45),IF(AND($B45&gt;=DATA!$R$28,$B45&lt;=4),(3/q_v)*(DATA!$Q$28*DATA!$R$28/($B45^2)))))))</f>
        <v>0.21189600000000003</v>
      </c>
      <c r="Q45" s="51">
        <f>g*avg*v*IF(AND($B45&gt;=0,$B45&lt;=DATA!$P$28),(1+($B45/DATA!$P$28)*(3*n-1)),IF(AND($B45&gt;=DATA!$P$28,$B45&lt;=DATA!$Q$28),n*3,IF(AND($B45&gt;=DATA!$Q$28,$B45&lt;=DATA!$R$28),n*3*(DATA!$Q$28/$B45),IF(AND($B45&gt;=DATA!$R$28,$B45&lt;=4),3*n*(DATA!$Q$28*DATA!$R$28/$B45^2)))))</f>
        <v>5.6724092801903582E-2</v>
      </c>
      <c r="R45" s="52">
        <f>MAX(0.2*g*avg*v,g*avg*v*IF(AND($B45&gt;=0,$B45&lt;=DATA!$P$28),((2/3)+($B45/DATA!$P$28)*((3/q_v)-(2/3))),IF(AND($B45&gt;=DATA!$P$28,$B45&lt;=DATA!$Q$28),3/q_v,IF(AND($B45&gt;=DATA!$Q$28,$B45&lt;=DATA!$R$28),(3/q_v)*(DATA!$Q$28/$B45),IF(AND($B45&gt;=DATA!$R$28,$B45&lt;=4),(3/q_v)*(DATA!$Q$28*DATA!$R$28/($B45^2)))))))</f>
        <v>0.10594800000000001</v>
      </c>
    </row>
    <row r="46" spans="1:18" x14ac:dyDescent="0.25">
      <c r="A46" s="19"/>
      <c r="B46" s="16">
        <f t="shared" si="8"/>
        <v>2.1000000000000005</v>
      </c>
      <c r="C46" s="50">
        <f t="shared" si="0"/>
        <v>0.17006802721088426</v>
      </c>
      <c r="D46" s="51">
        <f t="shared" si="1"/>
        <v>0.2</v>
      </c>
      <c r="E46" s="51">
        <f t="shared" si="2"/>
        <v>8.5034013605442132E-2</v>
      </c>
      <c r="F46" s="52">
        <f t="shared" si="3"/>
        <v>0.1</v>
      </c>
      <c r="G46" s="50">
        <f t="shared" si="4"/>
        <v>0.40040816326530593</v>
      </c>
      <c r="H46" s="51">
        <f t="shared" si="5"/>
        <v>0.47088000000000002</v>
      </c>
      <c r="I46" s="51">
        <f t="shared" si="6"/>
        <v>0.20020408163265296</v>
      </c>
      <c r="J46" s="52">
        <f t="shared" si="7"/>
        <v>0.23544000000000001</v>
      </c>
      <c r="K46" s="50">
        <f>IF(AND($B46&gt;=0,$B46&lt;=DATA!$P$28),(1+($B46/DATA!$P$28)*(3*n-1)),IF(AND($B46&gt;=DATA!$P$28,$B46&lt;=DATA!$Q$28),n*3,IF(AND($B46&gt;=DATA!$Q$28,$B46&lt;=DATA!$R$28),n*3*(DATA!$Q$28/$B46),IF(AND($B46&gt;=DATA!$R$28,$B46&lt;=4),3*n*(DATA!$Q$28*DATA!$R$28/$B46^2)))))</f>
        <v>0.10204081632653056</v>
      </c>
      <c r="L46" s="51">
        <f>MAX(0.2,IF(AND($B46&gt;=0,$B46&lt;=DATA!$P$28),((2/3)+($B46/DATA!$P$28)*((3/q_v)-(2/3))),IF(AND($B46&gt;=DATA!$P$28,$B46&lt;=DATA!$Q$28),3/q_v,IF(AND($B46&gt;=DATA!$Q$28,$B46&lt;=DATA!$R$28),(3/q_v)*(DATA!$Q$28/$B46),IF(AND($B46&gt;=DATA!$R$28,$B46&lt;=4),(3/q_v)*(DATA!$Q$28*DATA!$R$28/($B46^2)))))))</f>
        <v>0.2</v>
      </c>
      <c r="M46" s="51">
        <f>v*IF(AND($B46&gt;=0,$B46&lt;=DATA!$P$28),(1+($B46/DATA!$P$28)*(3*n-1)),IF(AND($B46&gt;=DATA!$P$28,$B46&lt;=DATA!$Q$28),n*3,IF(AND($B46&gt;=DATA!$Q$28,$B46&lt;=DATA!$R$28),n*3*(DATA!$Q$28/$B46),IF(AND($B46&gt;=DATA!$R$28,$B46&lt;=4),3*n*(DATA!$Q$28*DATA!$R$28/$B46^2)))))</f>
        <v>5.1020408163265279E-2</v>
      </c>
      <c r="N46" s="52">
        <f>MAX(0.2,v*IF(AND($B46&gt;=0,$B46&lt;=DATA!$P$28),((2/3)+($B46/DATA!$P$28)*((3/q_v)-(2/3))),IF(AND($B46&gt;=DATA!$P$28,$B46&lt;=DATA!$Q$28),3/q_v,IF(AND($B46&gt;=DATA!$Q$28,$B46&lt;=DATA!$R$28),(3/q_v)*(DATA!$Q$28/$B46),IF(AND($B46&gt;=DATA!$R$28,$B46&lt;=4),(3/q_v)*(DATA!$Q$28*DATA!$R$28/($B46^2)))))))</f>
        <v>0.2</v>
      </c>
      <c r="O46" s="50">
        <f>g*avg*IF(AND($B46&gt;=0,$B46&lt;=DATA!$P$28),(1+($B46/DATA!$P$28)*(3*n-1)),IF(AND($B46&gt;=DATA!$P$28,$B46&lt;=DATA!$Q$28),n*3,IF(AND($B46&gt;=DATA!$Q$28,$B46&lt;=DATA!$R$28),n*3*(DATA!$Q$28/$B46),IF(AND($B46&gt;=DATA!$R$28,$B46&lt;=4),3*n*(DATA!$Q$28*DATA!$R$28/$B46^2)))))</f>
        <v>0.10811020408163259</v>
      </c>
      <c r="P46" s="51">
        <f>MAX(0.2*g*avg,g*avg*IF(AND($B46&gt;=0,$B46&lt;=DATA!$P$28),((2/3)+($B46/DATA!$P$28)*((3/q_v)-(2/3))),IF(AND($B46&gt;=DATA!$P$28,$B46&lt;=DATA!$Q$28),3/q_v,IF(AND($B46&gt;=DATA!$Q$28,$B46&lt;=DATA!$R$28),(3/q_v)*(DATA!$Q$28/$B46),IF(AND($B46&gt;=DATA!$R$28,$B46&lt;=4),(3/q_v)*(DATA!$Q$28*DATA!$R$28/($B46^2)))))))</f>
        <v>0.21189600000000003</v>
      </c>
      <c r="Q46" s="51">
        <f>g*avg*v*IF(AND($B46&gt;=0,$B46&lt;=DATA!$P$28),(1+($B46/DATA!$P$28)*(3*n-1)),IF(AND($B46&gt;=DATA!$P$28,$B46&lt;=DATA!$Q$28),n*3,IF(AND($B46&gt;=DATA!$Q$28,$B46&lt;=DATA!$R$28),n*3*(DATA!$Q$28/$B46),IF(AND($B46&gt;=DATA!$R$28,$B46&lt;=4),3*n*(DATA!$Q$28*DATA!$R$28/$B46^2)))))</f>
        <v>5.4055102040816295E-2</v>
      </c>
      <c r="R46" s="52">
        <f>MAX(0.2*g*avg*v,g*avg*v*IF(AND($B46&gt;=0,$B46&lt;=DATA!$P$28),((2/3)+($B46/DATA!$P$28)*((3/q_v)-(2/3))),IF(AND($B46&gt;=DATA!$P$28,$B46&lt;=DATA!$Q$28),3/q_v,IF(AND($B46&gt;=DATA!$Q$28,$B46&lt;=DATA!$R$28),(3/q_v)*(DATA!$Q$28/$B46),IF(AND($B46&gt;=DATA!$R$28,$B46&lt;=4),(3/q_v)*(DATA!$Q$28*DATA!$R$28/($B46^2)))))))</f>
        <v>0.10594800000000001</v>
      </c>
    </row>
    <row r="47" spans="1:18" ht="15.75" thickBot="1" x14ac:dyDescent="0.3">
      <c r="A47" s="19"/>
      <c r="B47" s="16">
        <f t="shared" si="8"/>
        <v>2.1500000000000004</v>
      </c>
      <c r="C47" s="53">
        <f t="shared" si="0"/>
        <v>0.1622498647917793</v>
      </c>
      <c r="D47" s="54">
        <f t="shared" si="1"/>
        <v>0.2</v>
      </c>
      <c r="E47" s="54">
        <f t="shared" si="2"/>
        <v>8.1124932395889651E-2</v>
      </c>
      <c r="F47" s="55">
        <f t="shared" si="3"/>
        <v>0.1</v>
      </c>
      <c r="G47" s="53">
        <f t="shared" si="4"/>
        <v>0.38200108166576519</v>
      </c>
      <c r="H47" s="54">
        <f t="shared" si="5"/>
        <v>0.47088000000000002</v>
      </c>
      <c r="I47" s="54">
        <f t="shared" si="6"/>
        <v>0.19100054083288259</v>
      </c>
      <c r="J47" s="55">
        <f t="shared" si="7"/>
        <v>0.23544000000000001</v>
      </c>
      <c r="K47" s="53">
        <f>IF(AND($B47&gt;=0,$B47&lt;=DATA!$P$28),(1+($B47/DATA!$P$28)*(3*n-1)),IF(AND($B47&gt;=DATA!$P$28,$B47&lt;=DATA!$Q$28),n*3,IF(AND($B47&gt;=DATA!$Q$28,$B47&lt;=DATA!$R$28),n*3*(DATA!$Q$28/$B47),IF(AND($B47&gt;=DATA!$R$28,$B47&lt;=4),3*n*(DATA!$Q$28*DATA!$R$28/$B47^2)))))</f>
        <v>9.7349918875067581E-2</v>
      </c>
      <c r="L47" s="54">
        <f>MAX(0.2,IF(AND($B47&gt;=0,$B47&lt;=DATA!$P$28),((2/3)+($B47/DATA!$P$28)*((3/q_v)-(2/3))),IF(AND($B47&gt;=DATA!$P$28,$B47&lt;=DATA!$Q$28),3/q_v,IF(AND($B47&gt;=DATA!$Q$28,$B47&lt;=DATA!$R$28),(3/q_v)*(DATA!$Q$28/$B47),IF(AND($B47&gt;=DATA!$R$28,$B47&lt;=4),(3/q_v)*(DATA!$Q$28*DATA!$R$28/($B47^2)))))))</f>
        <v>0.2</v>
      </c>
      <c r="M47" s="54">
        <f>v*IF(AND($B47&gt;=0,$B47&lt;=DATA!$P$28),(1+($B47/DATA!$P$28)*(3*n-1)),IF(AND($B47&gt;=DATA!$P$28,$B47&lt;=DATA!$Q$28),n*3,IF(AND($B47&gt;=DATA!$Q$28,$B47&lt;=DATA!$R$28),n*3*(DATA!$Q$28/$B47),IF(AND($B47&gt;=DATA!$R$28,$B47&lt;=4),3*n*(DATA!$Q$28*DATA!$R$28/$B47^2)))))</f>
        <v>4.8674959437533791E-2</v>
      </c>
      <c r="N47" s="55">
        <f>MAX(0.2,v*IF(AND($B47&gt;=0,$B47&lt;=DATA!$P$28),((2/3)+($B47/DATA!$P$28)*((3/q_v)-(2/3))),IF(AND($B47&gt;=DATA!$P$28,$B47&lt;=DATA!$Q$28),3/q_v,IF(AND($B47&gt;=DATA!$Q$28,$B47&lt;=DATA!$R$28),(3/q_v)*(DATA!$Q$28/$B47),IF(AND($B47&gt;=DATA!$R$28,$B47&lt;=4),(3/q_v)*(DATA!$Q$28*DATA!$R$28/($B47^2)))))))</f>
        <v>0.2</v>
      </c>
      <c r="O47" s="53">
        <f>g*avg*IF(AND($B47&gt;=0,$B47&lt;=DATA!$P$28),(1+($B47/DATA!$P$28)*(3*n-1)),IF(AND($B47&gt;=DATA!$P$28,$B47&lt;=DATA!$Q$28),n*3,IF(AND($B47&gt;=DATA!$Q$28,$B47&lt;=DATA!$R$28),n*3*(DATA!$Q$28/$B47),IF(AND($B47&gt;=DATA!$R$28,$B47&lt;=4),3*n*(DATA!$Q$28*DATA!$R$28/$B47^2)))))</f>
        <v>0.1031402920497566</v>
      </c>
      <c r="P47" s="54">
        <f>MAX(0.2*g*avg,g*avg*IF(AND($B47&gt;=0,$B47&lt;=DATA!$P$28),((2/3)+($B47/DATA!$P$28)*((3/q_v)-(2/3))),IF(AND($B47&gt;=DATA!$P$28,$B47&lt;=DATA!$Q$28),3/q_v,IF(AND($B47&gt;=DATA!$Q$28,$B47&lt;=DATA!$R$28),(3/q_v)*(DATA!$Q$28/$B47),IF(AND($B47&gt;=DATA!$R$28,$B47&lt;=4),(3/q_v)*(DATA!$Q$28*DATA!$R$28/($B47^2)))))))</f>
        <v>0.21189600000000003</v>
      </c>
      <c r="Q47" s="54">
        <f>g*avg*v*IF(AND($B47&gt;=0,$B47&lt;=DATA!$P$28),(1+($B47/DATA!$P$28)*(3*n-1)),IF(AND($B47&gt;=DATA!$P$28,$B47&lt;=DATA!$Q$28),n*3,IF(AND($B47&gt;=DATA!$Q$28,$B47&lt;=DATA!$R$28),n*3*(DATA!$Q$28/$B47),IF(AND($B47&gt;=DATA!$R$28,$B47&lt;=4),3*n*(DATA!$Q$28*DATA!$R$28/$B47^2)))))</f>
        <v>5.1570146024878298E-2</v>
      </c>
      <c r="R47" s="55">
        <f>MAX(0.2*g*avg*v,g*avg*v*IF(AND($B47&gt;=0,$B47&lt;=DATA!$P$28),((2/3)+($B47/DATA!$P$28)*((3/q_v)-(2/3))),IF(AND($B47&gt;=DATA!$P$28,$B47&lt;=DATA!$Q$28),3/q_v,IF(AND($B47&gt;=DATA!$Q$28,$B47&lt;=DATA!$R$28),(3/q_v)*(DATA!$Q$28/$B47),IF(AND($B47&gt;=DATA!$R$28,$B47&lt;=4),(3/q_v)*(DATA!$Q$28*DATA!$R$28/($B47^2)))))))</f>
        <v>0.10594800000000001</v>
      </c>
    </row>
  </sheetData>
  <mergeCells count="8">
    <mergeCell ref="O1:R1"/>
    <mergeCell ref="O2:P2"/>
    <mergeCell ref="C2:D2"/>
    <mergeCell ref="C1:F1"/>
    <mergeCell ref="G1:J1"/>
    <mergeCell ref="G2:H2"/>
    <mergeCell ref="K1:N1"/>
    <mergeCell ref="K2:L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7"/>
  <sheetViews>
    <sheetView topLeftCell="C1" workbookViewId="0">
      <selection activeCell="B7" sqref="B7"/>
    </sheetView>
  </sheetViews>
  <sheetFormatPr defaultRowHeight="15" x14ac:dyDescent="0.25"/>
  <cols>
    <col min="1" max="1" width="17.85546875" bestFit="1" customWidth="1"/>
    <col min="2" max="2" width="7.5703125" bestFit="1" customWidth="1"/>
    <col min="3" max="3" width="4.5703125" bestFit="1" customWidth="1"/>
    <col min="4" max="4" width="3.7109375" bestFit="1" customWidth="1"/>
    <col min="5" max="6" width="4.5703125" bestFit="1" customWidth="1"/>
    <col min="7" max="7" width="5.5703125" bestFit="1" customWidth="1"/>
    <col min="8" max="8" width="7.5703125" bestFit="1" customWidth="1"/>
    <col min="9" max="10" width="4.5703125" bestFit="1" customWidth="1"/>
    <col min="11" max="12" width="7.5703125" bestFit="1" customWidth="1"/>
    <col min="13" max="14" width="6.140625" bestFit="1" customWidth="1"/>
    <col min="15" max="16" width="8.5703125" bestFit="1" customWidth="1"/>
    <col min="17" max="17" width="5.5703125" bestFit="1" customWidth="1"/>
    <col min="18" max="18" width="9.140625" bestFit="1" customWidth="1"/>
    <col min="19" max="19" width="10" bestFit="1" customWidth="1"/>
    <col min="20" max="21" width="7.5703125" bestFit="1" customWidth="1"/>
    <col min="22" max="23" width="6.5703125" bestFit="1" customWidth="1"/>
    <col min="24" max="24" width="7.7109375" bestFit="1" customWidth="1"/>
    <col min="25" max="25" width="9.140625" customWidth="1"/>
    <col min="26" max="27" width="4.5703125" bestFit="1" customWidth="1"/>
    <col min="28" max="29" width="5.140625" bestFit="1" customWidth="1"/>
    <col min="30" max="30" width="9.140625" customWidth="1"/>
    <col min="31" max="31" width="4" bestFit="1" customWidth="1"/>
    <col min="32" max="32" width="5.5703125" customWidth="1"/>
    <col min="33" max="38" width="5.5703125" bestFit="1" customWidth="1"/>
    <col min="39" max="40" width="6.28515625" bestFit="1" customWidth="1"/>
    <col min="41" max="41" width="5.5703125" bestFit="1" customWidth="1"/>
  </cols>
  <sheetData>
    <row r="1" spans="1:41" ht="15.75" customHeight="1" thickBot="1" x14ac:dyDescent="0.3">
      <c r="D1" s="125"/>
      <c r="E1" s="157" t="s">
        <v>129</v>
      </c>
      <c r="F1" s="157"/>
      <c r="G1" s="157"/>
      <c r="H1" s="157"/>
      <c r="I1" s="157"/>
      <c r="J1" s="157"/>
      <c r="K1" s="157"/>
      <c r="L1" s="158"/>
      <c r="M1" s="159" t="s">
        <v>136</v>
      </c>
      <c r="N1" s="158"/>
      <c r="O1" s="159" t="s">
        <v>153</v>
      </c>
      <c r="P1" s="157"/>
      <c r="Q1" s="157"/>
      <c r="R1" s="157"/>
      <c r="S1" s="157"/>
      <c r="T1" s="159" t="s">
        <v>157</v>
      </c>
      <c r="U1" s="157"/>
      <c r="V1" s="157"/>
      <c r="W1" s="158"/>
      <c r="X1" s="125"/>
      <c r="Z1" s="155" t="s">
        <v>182</v>
      </c>
      <c r="AA1" s="156"/>
      <c r="AB1" s="155" t="s">
        <v>183</v>
      </c>
      <c r="AC1" s="156"/>
      <c r="AD1" s="135"/>
      <c r="AF1" s="154" t="s">
        <v>171</v>
      </c>
      <c r="AG1" s="154"/>
      <c r="AH1" s="154"/>
      <c r="AI1" s="154"/>
      <c r="AJ1" s="154"/>
      <c r="AK1" s="154"/>
      <c r="AL1" s="154"/>
      <c r="AM1" s="154"/>
      <c r="AN1" s="154"/>
      <c r="AO1" s="154"/>
    </row>
    <row r="2" spans="1:41" ht="15.75" thickBot="1" x14ac:dyDescent="0.3">
      <c r="A2" s="130" t="s">
        <v>127</v>
      </c>
      <c r="B2" s="67">
        <v>3</v>
      </c>
      <c r="C2" s="63" t="s">
        <v>108</v>
      </c>
      <c r="D2" s="126"/>
      <c r="E2" s="103" t="s">
        <v>123</v>
      </c>
      <c r="F2" s="72" t="s">
        <v>122</v>
      </c>
      <c r="G2" s="72" t="s">
        <v>175</v>
      </c>
      <c r="H2" s="72" t="s">
        <v>180</v>
      </c>
      <c r="I2" s="72" t="s">
        <v>121</v>
      </c>
      <c r="J2" s="72" t="s">
        <v>120</v>
      </c>
      <c r="K2" s="72" t="s">
        <v>176</v>
      </c>
      <c r="L2" s="96" t="s">
        <v>177</v>
      </c>
      <c r="M2" s="95" t="s">
        <v>138</v>
      </c>
      <c r="N2" s="96" t="s">
        <v>137</v>
      </c>
      <c r="O2" s="76" t="s">
        <v>132</v>
      </c>
      <c r="P2" s="72" t="s">
        <v>133</v>
      </c>
      <c r="Q2" s="72" t="s">
        <v>25</v>
      </c>
      <c r="R2" s="72" t="s">
        <v>142</v>
      </c>
      <c r="S2" s="72" t="s">
        <v>143</v>
      </c>
      <c r="T2" s="76" t="s">
        <v>149</v>
      </c>
      <c r="U2" s="72" t="s">
        <v>150</v>
      </c>
      <c r="V2" s="72" t="s">
        <v>154</v>
      </c>
      <c r="W2" s="96" t="s">
        <v>155</v>
      </c>
      <c r="X2" s="65" t="s">
        <v>179</v>
      </c>
      <c r="Z2" s="76" t="s">
        <v>123</v>
      </c>
      <c r="AA2" s="96" t="s">
        <v>122</v>
      </c>
      <c r="AB2" s="76" t="s">
        <v>123</v>
      </c>
      <c r="AC2" s="96" t="s">
        <v>122</v>
      </c>
      <c r="AD2" s="92"/>
      <c r="AF2" s="65" t="s">
        <v>162</v>
      </c>
      <c r="AG2" s="65" t="s">
        <v>163</v>
      </c>
      <c r="AH2" s="65" t="s">
        <v>164</v>
      </c>
      <c r="AI2" s="65" t="s">
        <v>165</v>
      </c>
      <c r="AJ2" s="65" t="s">
        <v>166</v>
      </c>
      <c r="AK2" s="65" t="s">
        <v>161</v>
      </c>
      <c r="AL2" s="65" t="s">
        <v>167</v>
      </c>
      <c r="AM2" s="65" t="s">
        <v>168</v>
      </c>
      <c r="AN2" s="65" t="s">
        <v>169</v>
      </c>
      <c r="AO2" s="65" t="s">
        <v>170</v>
      </c>
    </row>
    <row r="3" spans="1:41" x14ac:dyDescent="0.25">
      <c r="A3" s="130" t="s">
        <v>126</v>
      </c>
      <c r="B3" s="68">
        <v>28000</v>
      </c>
      <c r="C3" s="63" t="s">
        <v>125</v>
      </c>
      <c r="D3" s="122" t="s">
        <v>128</v>
      </c>
      <c r="E3" s="85" t="s">
        <v>108</v>
      </c>
      <c r="F3" s="85" t="s">
        <v>108</v>
      </c>
      <c r="G3" s="85" t="s">
        <v>98</v>
      </c>
      <c r="H3" s="85" t="s">
        <v>181</v>
      </c>
      <c r="I3" s="70" t="s">
        <v>108</v>
      </c>
      <c r="J3" s="70" t="s">
        <v>108</v>
      </c>
      <c r="K3" s="70" t="s">
        <v>148</v>
      </c>
      <c r="L3" s="86" t="s">
        <v>148</v>
      </c>
      <c r="M3" s="97" t="s">
        <v>117</v>
      </c>
      <c r="N3" s="86" t="s">
        <v>117</v>
      </c>
      <c r="O3" s="97" t="s">
        <v>139</v>
      </c>
      <c r="P3" s="70" t="s">
        <v>139</v>
      </c>
      <c r="Q3" s="70" t="s">
        <v>152</v>
      </c>
      <c r="R3" s="70" t="s">
        <v>144</v>
      </c>
      <c r="S3" s="70" t="s">
        <v>144</v>
      </c>
      <c r="T3" s="97" t="s">
        <v>151</v>
      </c>
      <c r="U3" s="70" t="s">
        <v>151</v>
      </c>
      <c r="V3" s="70" t="s">
        <v>156</v>
      </c>
      <c r="W3" s="86" t="s">
        <v>156</v>
      </c>
      <c r="X3" s="127" t="s">
        <v>117</v>
      </c>
      <c r="Z3" s="133" t="s">
        <v>108</v>
      </c>
      <c r="AA3" s="134" t="s">
        <v>108</v>
      </c>
      <c r="AB3" s="133" t="s">
        <v>108</v>
      </c>
      <c r="AC3" s="134" t="s">
        <v>108</v>
      </c>
      <c r="AD3" s="85"/>
      <c r="AE3" s="65" t="str">
        <f t="shared" ref="AE3:AE17" si="0">CONCATENATE("K",D4)</f>
        <v>K1</v>
      </c>
      <c r="AF3" s="101">
        <f>I4-E4/2</f>
        <v>2.4999999999999994E-2</v>
      </c>
      <c r="AG3" s="101">
        <f>I4+E4/2</f>
        <v>0.27500000000000002</v>
      </c>
      <c r="AH3" s="101">
        <f>I4+E4/2</f>
        <v>0.27500000000000002</v>
      </c>
      <c r="AI3" s="101">
        <f>I4-E4/2</f>
        <v>2.4999999999999994E-2</v>
      </c>
      <c r="AJ3" s="101">
        <f>AF3</f>
        <v>2.4999999999999994E-2</v>
      </c>
      <c r="AK3" s="101">
        <f>J4+F4/2</f>
        <v>1.5</v>
      </c>
      <c r="AL3" s="101">
        <f>J4+F4/2</f>
        <v>1.5</v>
      </c>
      <c r="AM3" s="101">
        <f>J4-F4/2</f>
        <v>0.5</v>
      </c>
      <c r="AN3" s="101">
        <f>J4-F4/2</f>
        <v>0.5</v>
      </c>
      <c r="AO3" s="101">
        <f>AK3</f>
        <v>1.5</v>
      </c>
    </row>
    <row r="4" spans="1:41" x14ac:dyDescent="0.25">
      <c r="A4" s="130" t="s">
        <v>124</v>
      </c>
      <c r="B4" s="67">
        <v>1</v>
      </c>
      <c r="C4" s="63" t="s">
        <v>117</v>
      </c>
      <c r="D4" s="123">
        <v>1</v>
      </c>
      <c r="E4" s="87">
        <v>0.25</v>
      </c>
      <c r="F4" s="87">
        <v>1</v>
      </c>
      <c r="G4" s="87">
        <v>30</v>
      </c>
      <c r="H4" s="39">
        <f>1000*G4/9.81</f>
        <v>3058.103975535168</v>
      </c>
      <c r="I4" s="87">
        <v>0.15</v>
      </c>
      <c r="J4" s="87">
        <v>1</v>
      </c>
      <c r="K4" s="88">
        <f>$G4*I4</f>
        <v>4.5</v>
      </c>
      <c r="L4" s="89">
        <f>$G4*J4</f>
        <v>30</v>
      </c>
      <c r="M4" s="98" t="str">
        <f>IF(E4/F4&gt;=4,"NAI","OXI")</f>
        <v>OXI</v>
      </c>
      <c r="N4" s="89" t="str">
        <f>IF(F4/E4&gt;=4,"NAI","OXI")</f>
        <v>NAI</v>
      </c>
      <c r="O4" s="104">
        <f>(1/12)*F4*(E4^3)</f>
        <v>1.3020833333333333E-3</v>
      </c>
      <c r="P4" s="105">
        <f>(1/12)*E4*(F4^3)</f>
        <v>2.0833333333333332E-2</v>
      </c>
      <c r="Q4" s="115">
        <f>E4*F4</f>
        <v>0.25</v>
      </c>
      <c r="R4" s="106">
        <f t="shared" ref="R4:R10" si="1">(I4^2)*Εc*P4</f>
        <v>13.125</v>
      </c>
      <c r="S4" s="106">
        <f t="shared" ref="S4:S10" si="2">(J4^2)*Εc*O4</f>
        <v>36.458333333333329</v>
      </c>
      <c r="T4" s="119">
        <f t="shared" ref="T4:T10" si="3">IF(M4="OXI",(12*Εc*O4)/(Hi^3),(1/(((Hi^3)/(12*Εc*O4)+(Hi/(Gc*Q4))))))</f>
        <v>16.203703703703702</v>
      </c>
      <c r="U4" s="94">
        <f t="shared" ref="U4:U10" si="4">IF(N4="OXI",(12*Εc*P4)/(Hi^3),(1/(((Hi^3)/(12*Εc*P4)+(Hi/(Gc*Q4))))))</f>
        <v>191.2568306010929</v>
      </c>
      <c r="V4" s="93">
        <f t="shared" ref="V4:V10" si="5">U4*I4</f>
        <v>28.688524590163933</v>
      </c>
      <c r="W4" s="107">
        <f t="shared" ref="W4:W10" si="6">T4*J4</f>
        <v>16.203703703703702</v>
      </c>
      <c r="X4" s="128">
        <f>G4*1.5/(Q4*1000*fck)</f>
        <v>7.1999999999999998E-3</v>
      </c>
      <c r="Z4" s="136">
        <v>0.4</v>
      </c>
      <c r="AA4" s="137">
        <v>1.5</v>
      </c>
      <c r="AB4" s="136">
        <v>0.25</v>
      </c>
      <c r="AC4" s="137">
        <v>1</v>
      </c>
      <c r="AD4" s="90"/>
      <c r="AE4" s="65" t="str">
        <f t="shared" si="0"/>
        <v>K2</v>
      </c>
      <c r="AF4" s="101">
        <f t="shared" ref="AF4:AF10" si="7">I5-E5/2</f>
        <v>4.6499999999999995</v>
      </c>
      <c r="AG4" s="101">
        <f t="shared" ref="AG4:AG10" si="8">I5+E5/2</f>
        <v>4.95</v>
      </c>
      <c r="AH4" s="101">
        <f t="shared" ref="AH4:AH10" si="9">I5+E5/2</f>
        <v>4.95</v>
      </c>
      <c r="AI4" s="101">
        <f t="shared" ref="AI4:AI10" si="10">I5-E5/2</f>
        <v>4.6499999999999995</v>
      </c>
      <c r="AJ4" s="101">
        <f t="shared" ref="AJ4:AJ10" si="11">AF4</f>
        <v>4.6499999999999995</v>
      </c>
      <c r="AK4" s="101">
        <f t="shared" ref="AK4:AK10" si="12">J5+F5/2</f>
        <v>0.39546689422147413</v>
      </c>
      <c r="AL4" s="101">
        <f t="shared" ref="AL4:AL10" si="13">J5+F5/2</f>
        <v>0.39546689422147413</v>
      </c>
      <c r="AM4" s="101">
        <f t="shared" ref="AM4:AM10" si="14">J5-F5/2</f>
        <v>4.5331057785258921E-3</v>
      </c>
      <c r="AN4" s="101">
        <f t="shared" ref="AN4:AN10" si="15">J5-F5/2</f>
        <v>4.5331057785258921E-3</v>
      </c>
      <c r="AO4" s="101">
        <f t="shared" ref="AO4:AO10" si="16">AK4</f>
        <v>0.39546689422147413</v>
      </c>
    </row>
    <row r="5" spans="1:41" x14ac:dyDescent="0.25">
      <c r="A5" s="130" t="s">
        <v>134</v>
      </c>
      <c r="B5" s="69">
        <v>0.3</v>
      </c>
      <c r="D5" s="123">
        <v>2</v>
      </c>
      <c r="E5" s="87">
        <v>0.3</v>
      </c>
      <c r="F5" s="87">
        <v>0.39093378844294824</v>
      </c>
      <c r="G5" s="87">
        <v>75</v>
      </c>
      <c r="H5" s="39">
        <f t="shared" ref="H5:H10" si="17">1000*G5/9.81</f>
        <v>7645.2599388379203</v>
      </c>
      <c r="I5" s="87">
        <v>4.8</v>
      </c>
      <c r="J5" s="87">
        <v>0.2</v>
      </c>
      <c r="K5" s="88">
        <f t="shared" ref="K5:K10" si="18">G5*I5</f>
        <v>360</v>
      </c>
      <c r="L5" s="89">
        <f t="shared" ref="L5:L10" si="19">$G5*J5</f>
        <v>15</v>
      </c>
      <c r="M5" s="98" t="str">
        <f t="shared" ref="M5:M10" si="20">IF(E5/F5&gt;=4,"NAI","OXI")</f>
        <v>OXI</v>
      </c>
      <c r="N5" s="89" t="str">
        <f t="shared" ref="N5:N10" si="21">IF(F5/E5&gt;=4,"NAI","OXI")</f>
        <v>OXI</v>
      </c>
      <c r="O5" s="104">
        <f t="shared" ref="O5:O10" si="22">(1/12)*F5*(E5^3)</f>
        <v>8.7960102399663349E-4</v>
      </c>
      <c r="P5" s="105">
        <f t="shared" ref="P5:P10" si="23">(1/12)*E5*(F5^3)</f>
        <v>1.4936527168736495E-3</v>
      </c>
      <c r="Q5" s="115">
        <f t="shared" ref="Q5:Q10" si="24">E5*F5</f>
        <v>0.11728013653288447</v>
      </c>
      <c r="R5" s="106">
        <f t="shared" si="1"/>
        <v>963.58524070952876</v>
      </c>
      <c r="S5" s="106">
        <f t="shared" si="2"/>
        <v>0.98515314687622968</v>
      </c>
      <c r="T5" s="119">
        <f t="shared" si="3"/>
        <v>10.946146076402549</v>
      </c>
      <c r="U5" s="94">
        <f t="shared" si="4"/>
        <v>18.587678254427637</v>
      </c>
      <c r="V5" s="93">
        <f t="shared" si="5"/>
        <v>89.220855621252653</v>
      </c>
      <c r="W5" s="107">
        <f t="shared" si="6"/>
        <v>2.18922921528051</v>
      </c>
      <c r="X5" s="128">
        <f t="shared" ref="X5:X10" si="25">G5/(Q5*(1000*fck/1.5))</f>
        <v>3.8369668837640154E-2</v>
      </c>
      <c r="Z5" s="136">
        <v>0.5</v>
      </c>
      <c r="AA5" s="137">
        <v>0.5</v>
      </c>
      <c r="AB5" s="136">
        <v>0.3</v>
      </c>
      <c r="AC5" s="137">
        <v>0.3</v>
      </c>
      <c r="AD5" s="90"/>
      <c r="AE5" s="65" t="str">
        <f t="shared" si="0"/>
        <v>K3</v>
      </c>
      <c r="AF5" s="101">
        <f t="shared" si="7"/>
        <v>7.1999999999999993</v>
      </c>
      <c r="AG5" s="101">
        <f t="shared" si="8"/>
        <v>9.1999999999999993</v>
      </c>
      <c r="AH5" s="101">
        <f t="shared" si="9"/>
        <v>9.1999999999999993</v>
      </c>
      <c r="AI5" s="101">
        <f t="shared" si="10"/>
        <v>7.1999999999999993</v>
      </c>
      <c r="AJ5" s="101">
        <f t="shared" si="11"/>
        <v>7.1999999999999993</v>
      </c>
      <c r="AK5" s="101">
        <f t="shared" si="12"/>
        <v>0.35</v>
      </c>
      <c r="AL5" s="101">
        <f t="shared" si="13"/>
        <v>0.35</v>
      </c>
      <c r="AM5" s="101">
        <f t="shared" si="14"/>
        <v>-5.0000000000000017E-2</v>
      </c>
      <c r="AN5" s="101">
        <f t="shared" si="15"/>
        <v>-5.0000000000000017E-2</v>
      </c>
      <c r="AO5" s="101">
        <f t="shared" si="16"/>
        <v>0.35</v>
      </c>
    </row>
    <row r="6" spans="1:41" x14ac:dyDescent="0.25">
      <c r="A6" s="130" t="s">
        <v>135</v>
      </c>
      <c r="B6" s="69">
        <f>Εc/(2*(1+2*$B$5))</f>
        <v>8750</v>
      </c>
      <c r="C6" s="63" t="s">
        <v>125</v>
      </c>
      <c r="D6" s="123">
        <v>3</v>
      </c>
      <c r="E6" s="87">
        <v>2</v>
      </c>
      <c r="F6" s="87">
        <v>0.4</v>
      </c>
      <c r="G6" s="87">
        <v>60</v>
      </c>
      <c r="H6" s="39">
        <f t="shared" si="17"/>
        <v>6116.2079510703361</v>
      </c>
      <c r="I6" s="87">
        <v>8.1999999999999993</v>
      </c>
      <c r="J6" s="87">
        <v>0.15</v>
      </c>
      <c r="K6" s="88">
        <f t="shared" si="18"/>
        <v>491.99999999999994</v>
      </c>
      <c r="L6" s="89">
        <f t="shared" si="19"/>
        <v>9</v>
      </c>
      <c r="M6" s="98" t="str">
        <f t="shared" si="20"/>
        <v>NAI</v>
      </c>
      <c r="N6" s="89" t="str">
        <f t="shared" si="21"/>
        <v>OXI</v>
      </c>
      <c r="O6" s="104">
        <f t="shared" si="22"/>
        <v>0.26666666666666666</v>
      </c>
      <c r="P6" s="105">
        <f t="shared" si="23"/>
        <v>1.0666666666666668E-2</v>
      </c>
      <c r="Q6" s="115">
        <f t="shared" si="24"/>
        <v>0.8</v>
      </c>
      <c r="R6" s="106">
        <f t="shared" si="1"/>
        <v>20082.346666666668</v>
      </c>
      <c r="S6" s="106">
        <f t="shared" si="2"/>
        <v>168</v>
      </c>
      <c r="T6" s="119">
        <f t="shared" si="3"/>
        <v>1370.0305810397556</v>
      </c>
      <c r="U6" s="94">
        <f t="shared" si="4"/>
        <v>132.74074074074076</v>
      </c>
      <c r="V6" s="93">
        <f t="shared" si="5"/>
        <v>1088.4740740740742</v>
      </c>
      <c r="W6" s="107">
        <f t="shared" si="6"/>
        <v>205.50458715596332</v>
      </c>
      <c r="X6" s="128">
        <f t="shared" si="25"/>
        <v>4.4999999999999988E-3</v>
      </c>
      <c r="Z6" s="136">
        <v>2</v>
      </c>
      <c r="AA6" s="137">
        <v>0.4</v>
      </c>
      <c r="AB6" s="136">
        <v>1.2</v>
      </c>
      <c r="AC6" s="137">
        <v>0.25</v>
      </c>
      <c r="AD6" s="90"/>
      <c r="AE6" s="65" t="str">
        <f t="shared" si="0"/>
        <v>K4</v>
      </c>
      <c r="AF6" s="101">
        <f t="shared" si="7"/>
        <v>4.55</v>
      </c>
      <c r="AG6" s="101">
        <f t="shared" si="8"/>
        <v>5.05</v>
      </c>
      <c r="AH6" s="101">
        <f t="shared" si="9"/>
        <v>5.05</v>
      </c>
      <c r="AI6" s="101">
        <f t="shared" si="10"/>
        <v>4.55</v>
      </c>
      <c r="AJ6" s="101">
        <f t="shared" si="11"/>
        <v>4.55</v>
      </c>
      <c r="AK6" s="101">
        <f t="shared" si="12"/>
        <v>4.05</v>
      </c>
      <c r="AL6" s="101">
        <f t="shared" si="13"/>
        <v>4.05</v>
      </c>
      <c r="AM6" s="101">
        <f t="shared" si="14"/>
        <v>3.55</v>
      </c>
      <c r="AN6" s="101">
        <f t="shared" si="15"/>
        <v>3.55</v>
      </c>
      <c r="AO6" s="101">
        <f t="shared" si="16"/>
        <v>4.05</v>
      </c>
    </row>
    <row r="7" spans="1:41" x14ac:dyDescent="0.25">
      <c r="A7" s="130" t="s">
        <v>174</v>
      </c>
      <c r="B7" s="69">
        <v>25</v>
      </c>
      <c r="C7" s="66" t="s">
        <v>125</v>
      </c>
      <c r="D7" s="123">
        <v>4</v>
      </c>
      <c r="E7" s="87">
        <v>0.5</v>
      </c>
      <c r="F7" s="87">
        <v>0.5</v>
      </c>
      <c r="G7" s="87">
        <v>35</v>
      </c>
      <c r="H7" s="39">
        <f t="shared" si="17"/>
        <v>3567.7879714576961</v>
      </c>
      <c r="I7" s="87">
        <v>4.8</v>
      </c>
      <c r="J7" s="87">
        <v>3.8</v>
      </c>
      <c r="K7" s="88">
        <f t="shared" si="18"/>
        <v>168</v>
      </c>
      <c r="L7" s="89">
        <f t="shared" si="19"/>
        <v>133</v>
      </c>
      <c r="M7" s="98" t="str">
        <f t="shared" si="20"/>
        <v>OXI</v>
      </c>
      <c r="N7" s="89" t="str">
        <f t="shared" si="21"/>
        <v>OXI</v>
      </c>
      <c r="O7" s="104">
        <f t="shared" si="22"/>
        <v>5.208333333333333E-3</v>
      </c>
      <c r="P7" s="105">
        <f t="shared" si="23"/>
        <v>5.208333333333333E-3</v>
      </c>
      <c r="Q7" s="115">
        <f t="shared" si="24"/>
        <v>0.25</v>
      </c>
      <c r="R7" s="106">
        <f t="shared" si="1"/>
        <v>3360</v>
      </c>
      <c r="S7" s="106">
        <f t="shared" si="2"/>
        <v>2105.833333333333</v>
      </c>
      <c r="T7" s="119">
        <f t="shared" si="3"/>
        <v>64.81481481481481</v>
      </c>
      <c r="U7" s="94">
        <f t="shared" si="4"/>
        <v>64.81481481481481</v>
      </c>
      <c r="V7" s="93">
        <f t="shared" si="5"/>
        <v>311.11111111111109</v>
      </c>
      <c r="W7" s="107">
        <f t="shared" si="6"/>
        <v>246.29629629629628</v>
      </c>
      <c r="X7" s="128">
        <f t="shared" si="25"/>
        <v>8.3999999999999995E-3</v>
      </c>
      <c r="Z7" s="136">
        <v>0.5</v>
      </c>
      <c r="AA7" s="137">
        <v>0.5</v>
      </c>
      <c r="AB7" s="136">
        <v>0.3</v>
      </c>
      <c r="AC7" s="137">
        <v>0.3</v>
      </c>
      <c r="AD7" s="90"/>
      <c r="AE7" s="65" t="str">
        <f t="shared" si="0"/>
        <v>K5</v>
      </c>
      <c r="AF7" s="101">
        <f t="shared" si="7"/>
        <v>7.1999999999999993</v>
      </c>
      <c r="AG7" s="101">
        <f t="shared" si="8"/>
        <v>9.1999999999999993</v>
      </c>
      <c r="AH7" s="101">
        <f t="shared" si="9"/>
        <v>9.1999999999999993</v>
      </c>
      <c r="AI7" s="101">
        <f t="shared" si="10"/>
        <v>7.1999999999999993</v>
      </c>
      <c r="AJ7" s="101">
        <f t="shared" si="11"/>
        <v>7.1999999999999993</v>
      </c>
      <c r="AK7" s="101">
        <f t="shared" si="12"/>
        <v>4.05</v>
      </c>
      <c r="AL7" s="101">
        <f t="shared" si="13"/>
        <v>4.05</v>
      </c>
      <c r="AM7" s="101">
        <f t="shared" si="14"/>
        <v>3.65</v>
      </c>
      <c r="AN7" s="101">
        <f t="shared" si="15"/>
        <v>3.65</v>
      </c>
      <c r="AO7" s="101">
        <f t="shared" si="16"/>
        <v>4.05</v>
      </c>
    </row>
    <row r="8" spans="1:41" x14ac:dyDescent="0.25">
      <c r="D8" s="123">
        <v>5</v>
      </c>
      <c r="E8" s="87">
        <v>2</v>
      </c>
      <c r="F8" s="87">
        <v>0.4</v>
      </c>
      <c r="G8" s="87">
        <v>62</v>
      </c>
      <c r="H8" s="39">
        <f t="shared" si="17"/>
        <v>6320.0815494393473</v>
      </c>
      <c r="I8" s="87">
        <v>8.1999999999999993</v>
      </c>
      <c r="J8" s="87">
        <v>3.85</v>
      </c>
      <c r="K8" s="88">
        <f t="shared" si="18"/>
        <v>508.4</v>
      </c>
      <c r="L8" s="89">
        <f t="shared" si="19"/>
        <v>238.70000000000002</v>
      </c>
      <c r="M8" s="98" t="str">
        <f t="shared" si="20"/>
        <v>NAI</v>
      </c>
      <c r="N8" s="89" t="str">
        <f t="shared" si="21"/>
        <v>OXI</v>
      </c>
      <c r="O8" s="104">
        <f t="shared" si="22"/>
        <v>0.26666666666666666</v>
      </c>
      <c r="P8" s="105">
        <f t="shared" si="23"/>
        <v>1.0666666666666668E-2</v>
      </c>
      <c r="Q8" s="115">
        <f t="shared" si="24"/>
        <v>0.8</v>
      </c>
      <c r="R8" s="106">
        <f t="shared" si="1"/>
        <v>20082.346666666668</v>
      </c>
      <c r="S8" s="106">
        <f t="shared" si="2"/>
        <v>110674.66666666669</v>
      </c>
      <c r="T8" s="119">
        <f t="shared" si="3"/>
        <v>1370.0305810397556</v>
      </c>
      <c r="U8" s="94">
        <f t="shared" si="4"/>
        <v>132.74074074074076</v>
      </c>
      <c r="V8" s="93">
        <f t="shared" si="5"/>
        <v>1088.4740740740742</v>
      </c>
      <c r="W8" s="107">
        <f t="shared" si="6"/>
        <v>5274.6177370030591</v>
      </c>
      <c r="X8" s="128">
        <f t="shared" si="25"/>
        <v>4.6499999999999988E-3</v>
      </c>
      <c r="Z8" s="136">
        <v>2</v>
      </c>
      <c r="AA8" s="137">
        <v>0.4</v>
      </c>
      <c r="AB8" s="136">
        <v>1.2</v>
      </c>
      <c r="AC8" s="137">
        <v>0.25</v>
      </c>
      <c r="AD8" s="90"/>
      <c r="AE8" s="65" t="str">
        <f t="shared" si="0"/>
        <v>K6</v>
      </c>
      <c r="AF8" s="101">
        <f t="shared" si="7"/>
        <v>2.7767240633598811E-2</v>
      </c>
      <c r="AG8" s="101">
        <f t="shared" si="8"/>
        <v>1.3722327593664012</v>
      </c>
      <c r="AH8" s="101">
        <f t="shared" si="9"/>
        <v>1.3722327593664012</v>
      </c>
      <c r="AI8" s="101">
        <f t="shared" si="10"/>
        <v>2.7767240633598811E-2</v>
      </c>
      <c r="AJ8" s="101">
        <f t="shared" si="11"/>
        <v>2.7767240633598811E-2</v>
      </c>
      <c r="AK8" s="101">
        <f t="shared" si="12"/>
        <v>6.9749999999999996</v>
      </c>
      <c r="AL8" s="101">
        <f t="shared" si="13"/>
        <v>6.9749999999999996</v>
      </c>
      <c r="AM8" s="101">
        <f t="shared" si="14"/>
        <v>6.7249999999999996</v>
      </c>
      <c r="AN8" s="101">
        <f t="shared" si="15"/>
        <v>6.7249999999999996</v>
      </c>
      <c r="AO8" s="101">
        <f t="shared" si="16"/>
        <v>6.9749999999999996</v>
      </c>
    </row>
    <row r="9" spans="1:41" x14ac:dyDescent="0.25">
      <c r="D9" s="123">
        <v>6</v>
      </c>
      <c r="E9" s="87">
        <v>1.3444655187328023</v>
      </c>
      <c r="F9" s="87">
        <v>0.25</v>
      </c>
      <c r="G9" s="87">
        <v>35</v>
      </c>
      <c r="H9" s="39">
        <f t="shared" si="17"/>
        <v>3567.7879714576961</v>
      </c>
      <c r="I9" s="87">
        <v>0.7</v>
      </c>
      <c r="J9" s="87">
        <v>6.85</v>
      </c>
      <c r="K9" s="88">
        <f t="shared" si="18"/>
        <v>24.5</v>
      </c>
      <c r="L9" s="89">
        <f t="shared" si="19"/>
        <v>239.75</v>
      </c>
      <c r="M9" s="98" t="str">
        <f t="shared" si="20"/>
        <v>NAI</v>
      </c>
      <c r="N9" s="89" t="str">
        <f t="shared" si="21"/>
        <v>OXI</v>
      </c>
      <c r="O9" s="104">
        <f t="shared" si="22"/>
        <v>5.0629981408406147E-2</v>
      </c>
      <c r="P9" s="105">
        <f t="shared" si="23"/>
        <v>1.7506061441833363E-3</v>
      </c>
      <c r="Q9" s="115">
        <f t="shared" si="24"/>
        <v>0.33611637968320057</v>
      </c>
      <c r="R9" s="106">
        <f t="shared" si="1"/>
        <v>24.018316298195369</v>
      </c>
      <c r="S9" s="106">
        <f t="shared" si="2"/>
        <v>66519.188473806236</v>
      </c>
      <c r="T9" s="119">
        <f t="shared" si="3"/>
        <v>383.55319837134948</v>
      </c>
      <c r="U9" s="94">
        <f t="shared" si="4"/>
        <v>21.785320905392631</v>
      </c>
      <c r="V9" s="93">
        <f t="shared" si="5"/>
        <v>15.249724633774841</v>
      </c>
      <c r="W9" s="107">
        <f t="shared" si="6"/>
        <v>2627.339408843744</v>
      </c>
      <c r="X9" s="128">
        <f t="shared" si="25"/>
        <v>6.2478359489035037E-3</v>
      </c>
      <c r="Z9" s="136">
        <v>1.5</v>
      </c>
      <c r="AA9" s="137">
        <v>0.4</v>
      </c>
      <c r="AB9" s="136">
        <v>1.2</v>
      </c>
      <c r="AC9" s="137">
        <v>0.25</v>
      </c>
      <c r="AD9" s="90"/>
      <c r="AE9" s="65" t="str">
        <f t="shared" si="0"/>
        <v>K7</v>
      </c>
      <c r="AF9" s="101">
        <f t="shared" si="7"/>
        <v>4.6499999999999995</v>
      </c>
      <c r="AG9" s="101">
        <f t="shared" si="8"/>
        <v>5.05</v>
      </c>
      <c r="AH9" s="101">
        <f t="shared" si="9"/>
        <v>5.05</v>
      </c>
      <c r="AI9" s="101">
        <f t="shared" si="10"/>
        <v>4.6499999999999995</v>
      </c>
      <c r="AJ9" s="101">
        <f t="shared" si="11"/>
        <v>4.6499999999999995</v>
      </c>
      <c r="AK9" s="101">
        <f t="shared" si="12"/>
        <v>7.15</v>
      </c>
      <c r="AL9" s="101">
        <f t="shared" si="13"/>
        <v>7.15</v>
      </c>
      <c r="AM9" s="101">
        <f t="shared" si="14"/>
        <v>5.65</v>
      </c>
      <c r="AN9" s="101">
        <f t="shared" si="15"/>
        <v>5.65</v>
      </c>
      <c r="AO9" s="101">
        <f t="shared" si="16"/>
        <v>7.15</v>
      </c>
    </row>
    <row r="10" spans="1:41" x14ac:dyDescent="0.25">
      <c r="D10" s="123">
        <v>7</v>
      </c>
      <c r="E10" s="87">
        <v>0.4</v>
      </c>
      <c r="F10" s="87">
        <v>1.5</v>
      </c>
      <c r="G10" s="87">
        <v>40</v>
      </c>
      <c r="H10" s="39">
        <f t="shared" si="17"/>
        <v>4077.4719673802242</v>
      </c>
      <c r="I10" s="87">
        <v>4.8499999999999996</v>
      </c>
      <c r="J10" s="87">
        <v>6.4</v>
      </c>
      <c r="K10" s="88">
        <f t="shared" si="18"/>
        <v>194</v>
      </c>
      <c r="L10" s="89">
        <f t="shared" si="19"/>
        <v>256</v>
      </c>
      <c r="M10" s="98" t="str">
        <f t="shared" si="20"/>
        <v>OXI</v>
      </c>
      <c r="N10" s="89" t="str">
        <f t="shared" si="21"/>
        <v>OXI</v>
      </c>
      <c r="O10" s="104">
        <f t="shared" si="22"/>
        <v>8.0000000000000019E-3</v>
      </c>
      <c r="P10" s="105">
        <f t="shared" si="23"/>
        <v>0.1125</v>
      </c>
      <c r="Q10" s="115">
        <f t="shared" si="24"/>
        <v>0.60000000000000009</v>
      </c>
      <c r="R10" s="106">
        <f t="shared" si="1"/>
        <v>74095.874999999985</v>
      </c>
      <c r="S10" s="106">
        <f t="shared" si="2"/>
        <v>9175.0400000000045</v>
      </c>
      <c r="T10" s="119">
        <f t="shared" si="3"/>
        <v>99.555555555555571</v>
      </c>
      <c r="U10" s="94">
        <f t="shared" si="4"/>
        <v>1400</v>
      </c>
      <c r="V10" s="93">
        <f t="shared" si="5"/>
        <v>6789.9999999999991</v>
      </c>
      <c r="W10" s="107">
        <f t="shared" si="6"/>
        <v>637.15555555555568</v>
      </c>
      <c r="X10" s="128">
        <f t="shared" si="25"/>
        <v>3.9999999999999992E-3</v>
      </c>
      <c r="Z10" s="136">
        <v>0.4</v>
      </c>
      <c r="AA10" s="137">
        <v>1.5</v>
      </c>
      <c r="AB10" s="136">
        <v>0.25</v>
      </c>
      <c r="AC10" s="137">
        <v>1.2</v>
      </c>
      <c r="AD10" s="90"/>
      <c r="AE10" s="65" t="str">
        <f t="shared" si="0"/>
        <v>K8</v>
      </c>
      <c r="AF10" s="101">
        <f t="shared" si="7"/>
        <v>0</v>
      </c>
      <c r="AG10" s="101">
        <f t="shared" si="8"/>
        <v>0</v>
      </c>
      <c r="AH10" s="101">
        <f t="shared" si="9"/>
        <v>0</v>
      </c>
      <c r="AI10" s="101">
        <f t="shared" si="10"/>
        <v>0</v>
      </c>
      <c r="AJ10" s="101">
        <f t="shared" si="11"/>
        <v>0</v>
      </c>
      <c r="AK10" s="101">
        <f t="shared" si="12"/>
        <v>0</v>
      </c>
      <c r="AL10" s="101">
        <f t="shared" si="13"/>
        <v>0</v>
      </c>
      <c r="AM10" s="101">
        <f t="shared" si="14"/>
        <v>0</v>
      </c>
      <c r="AN10" s="101">
        <f t="shared" si="15"/>
        <v>0</v>
      </c>
      <c r="AO10" s="101">
        <f t="shared" si="16"/>
        <v>0</v>
      </c>
    </row>
    <row r="11" spans="1:41" x14ac:dyDescent="0.25">
      <c r="D11" s="123">
        <v>8</v>
      </c>
      <c r="E11" s="87"/>
      <c r="F11" s="87"/>
      <c r="G11" s="90"/>
      <c r="H11" s="90"/>
      <c r="I11" s="87"/>
      <c r="J11" s="87"/>
      <c r="K11" s="90"/>
      <c r="L11" s="91"/>
      <c r="M11" s="84"/>
      <c r="N11" s="91"/>
      <c r="O11" s="84"/>
      <c r="P11" s="90"/>
      <c r="Q11" s="90"/>
      <c r="R11" s="90"/>
      <c r="S11" s="90"/>
      <c r="T11" s="119"/>
      <c r="U11" s="94"/>
      <c r="V11" s="90"/>
      <c r="W11" s="91"/>
      <c r="X11" s="129"/>
      <c r="Z11" s="84"/>
      <c r="AA11" s="91"/>
      <c r="AB11" s="84"/>
      <c r="AC11" s="91"/>
      <c r="AD11" s="90"/>
      <c r="AE11" s="65" t="str">
        <f t="shared" si="0"/>
        <v>K9</v>
      </c>
      <c r="AF11" s="101">
        <f t="shared" ref="AF11:AF17" si="26">I12-E12/2</f>
        <v>0</v>
      </c>
      <c r="AG11" s="101">
        <f t="shared" ref="AG11:AG17" si="27">I12+E12/2</f>
        <v>0</v>
      </c>
      <c r="AH11" s="101">
        <f t="shared" ref="AH11:AH17" si="28">I12+E12/2</f>
        <v>0</v>
      </c>
      <c r="AI11" s="101">
        <f t="shared" ref="AI11:AI17" si="29">I12-E12/2</f>
        <v>0</v>
      </c>
      <c r="AJ11" s="101">
        <f t="shared" ref="AJ11:AJ17" si="30">AF11</f>
        <v>0</v>
      </c>
      <c r="AK11" s="101">
        <f t="shared" ref="AK11:AK17" si="31">J12+F12/2</f>
        <v>0</v>
      </c>
      <c r="AL11" s="101">
        <f t="shared" ref="AL11:AL17" si="32">J12+F12/2</f>
        <v>0</v>
      </c>
      <c r="AM11" s="101">
        <f t="shared" ref="AM11:AM17" si="33">J12-F12/2</f>
        <v>0</v>
      </c>
      <c r="AN11" s="101">
        <f t="shared" ref="AN11:AN17" si="34">J12-F12/2</f>
        <v>0</v>
      </c>
      <c r="AO11" s="101">
        <f t="shared" ref="AO11:AO17" si="35">AK11</f>
        <v>0</v>
      </c>
    </row>
    <row r="12" spans="1:41" x14ac:dyDescent="0.25">
      <c r="D12" s="123">
        <v>9</v>
      </c>
      <c r="E12" s="90"/>
      <c r="F12" s="90"/>
      <c r="G12" s="90"/>
      <c r="H12" s="90"/>
      <c r="I12" s="90"/>
      <c r="J12" s="90"/>
      <c r="K12" s="90"/>
      <c r="L12" s="91"/>
      <c r="M12" s="84"/>
      <c r="N12" s="91"/>
      <c r="O12" s="84"/>
      <c r="P12" s="90"/>
      <c r="Q12" s="90"/>
      <c r="R12" s="90"/>
      <c r="S12" s="90"/>
      <c r="T12" s="119"/>
      <c r="U12" s="94"/>
      <c r="V12" s="90"/>
      <c r="W12" s="91"/>
      <c r="X12" s="129"/>
      <c r="Z12" s="84"/>
      <c r="AA12" s="91"/>
      <c r="AB12" s="84"/>
      <c r="AC12" s="91"/>
      <c r="AD12" s="90"/>
      <c r="AE12" s="65" t="str">
        <f t="shared" si="0"/>
        <v>K10</v>
      </c>
      <c r="AF12" s="101">
        <f t="shared" si="26"/>
        <v>0</v>
      </c>
      <c r="AG12" s="101">
        <f t="shared" si="27"/>
        <v>0</v>
      </c>
      <c r="AH12" s="101">
        <f t="shared" si="28"/>
        <v>0</v>
      </c>
      <c r="AI12" s="101">
        <f t="shared" si="29"/>
        <v>0</v>
      </c>
      <c r="AJ12" s="101">
        <f t="shared" si="30"/>
        <v>0</v>
      </c>
      <c r="AK12" s="101">
        <f t="shared" si="31"/>
        <v>0</v>
      </c>
      <c r="AL12" s="101">
        <f t="shared" si="32"/>
        <v>0</v>
      </c>
      <c r="AM12" s="101">
        <f t="shared" si="33"/>
        <v>0</v>
      </c>
      <c r="AN12" s="101">
        <f t="shared" si="34"/>
        <v>0</v>
      </c>
      <c r="AO12" s="101">
        <f t="shared" si="35"/>
        <v>0</v>
      </c>
    </row>
    <row r="13" spans="1:41" x14ac:dyDescent="0.25">
      <c r="D13" s="123">
        <v>10</v>
      </c>
      <c r="E13" s="90"/>
      <c r="F13" s="90"/>
      <c r="G13" s="90"/>
      <c r="H13" s="90"/>
      <c r="I13" s="90"/>
      <c r="J13" s="90"/>
      <c r="K13" s="90"/>
      <c r="L13" s="91"/>
      <c r="M13" s="84"/>
      <c r="N13" s="91"/>
      <c r="O13" s="84"/>
      <c r="P13" s="90"/>
      <c r="Q13" s="90"/>
      <c r="R13" s="90"/>
      <c r="S13" s="90"/>
      <c r="T13" s="119"/>
      <c r="U13" s="94"/>
      <c r="V13" s="90"/>
      <c r="W13" s="91"/>
      <c r="X13" s="129"/>
      <c r="Z13" s="84"/>
      <c r="AA13" s="91"/>
      <c r="AB13" s="84"/>
      <c r="AC13" s="91"/>
      <c r="AD13" s="90"/>
      <c r="AE13" s="65" t="str">
        <f t="shared" si="0"/>
        <v>K11</v>
      </c>
      <c r="AF13" s="101">
        <f t="shared" si="26"/>
        <v>0</v>
      </c>
      <c r="AG13" s="101">
        <f t="shared" si="27"/>
        <v>0</v>
      </c>
      <c r="AH13" s="101">
        <f t="shared" si="28"/>
        <v>0</v>
      </c>
      <c r="AI13" s="101">
        <f t="shared" si="29"/>
        <v>0</v>
      </c>
      <c r="AJ13" s="101">
        <f t="shared" si="30"/>
        <v>0</v>
      </c>
      <c r="AK13" s="101">
        <f t="shared" si="31"/>
        <v>0</v>
      </c>
      <c r="AL13" s="101">
        <f t="shared" si="32"/>
        <v>0</v>
      </c>
      <c r="AM13" s="101">
        <f t="shared" si="33"/>
        <v>0</v>
      </c>
      <c r="AN13" s="101">
        <f t="shared" si="34"/>
        <v>0</v>
      </c>
      <c r="AO13" s="101">
        <f t="shared" si="35"/>
        <v>0</v>
      </c>
    </row>
    <row r="14" spans="1:41" x14ac:dyDescent="0.25">
      <c r="D14" s="123">
        <v>11</v>
      </c>
      <c r="E14" s="90"/>
      <c r="F14" s="90"/>
      <c r="G14" s="90"/>
      <c r="H14" s="90"/>
      <c r="I14" s="90"/>
      <c r="J14" s="90"/>
      <c r="K14" s="90"/>
      <c r="L14" s="91"/>
      <c r="M14" s="84"/>
      <c r="N14" s="91"/>
      <c r="O14" s="84"/>
      <c r="P14" s="90"/>
      <c r="Q14" s="90"/>
      <c r="R14" s="90"/>
      <c r="S14" s="90"/>
      <c r="T14" s="119"/>
      <c r="U14" s="94"/>
      <c r="V14" s="90"/>
      <c r="W14" s="91"/>
      <c r="X14" s="129"/>
      <c r="Z14" s="84"/>
      <c r="AA14" s="91"/>
      <c r="AB14" s="84"/>
      <c r="AC14" s="91"/>
      <c r="AD14" s="90"/>
      <c r="AE14" s="65" t="str">
        <f t="shared" si="0"/>
        <v>K12</v>
      </c>
      <c r="AF14" s="101">
        <f t="shared" si="26"/>
        <v>0</v>
      </c>
      <c r="AG14" s="101">
        <f t="shared" si="27"/>
        <v>0</v>
      </c>
      <c r="AH14" s="101">
        <f t="shared" si="28"/>
        <v>0</v>
      </c>
      <c r="AI14" s="101">
        <f t="shared" si="29"/>
        <v>0</v>
      </c>
      <c r="AJ14" s="101">
        <f t="shared" si="30"/>
        <v>0</v>
      </c>
      <c r="AK14" s="101">
        <f t="shared" si="31"/>
        <v>0</v>
      </c>
      <c r="AL14" s="101">
        <f t="shared" si="32"/>
        <v>0</v>
      </c>
      <c r="AM14" s="101">
        <f t="shared" si="33"/>
        <v>0</v>
      </c>
      <c r="AN14" s="101">
        <f t="shared" si="34"/>
        <v>0</v>
      </c>
      <c r="AO14" s="101">
        <f t="shared" si="35"/>
        <v>0</v>
      </c>
    </row>
    <row r="15" spans="1:41" x14ac:dyDescent="0.25">
      <c r="D15" s="123">
        <v>12</v>
      </c>
      <c r="E15" s="90"/>
      <c r="F15" s="90"/>
      <c r="G15" s="90"/>
      <c r="H15" s="90"/>
      <c r="I15" s="90"/>
      <c r="J15" s="90"/>
      <c r="K15" s="90"/>
      <c r="L15" s="91"/>
      <c r="M15" s="84"/>
      <c r="N15" s="91"/>
      <c r="O15" s="84"/>
      <c r="P15" s="90"/>
      <c r="Q15" s="90"/>
      <c r="R15" s="90"/>
      <c r="S15" s="90"/>
      <c r="T15" s="119"/>
      <c r="U15" s="94"/>
      <c r="V15" s="90"/>
      <c r="W15" s="91"/>
      <c r="X15" s="129"/>
      <c r="Z15" s="84"/>
      <c r="AA15" s="91"/>
      <c r="AB15" s="84"/>
      <c r="AC15" s="91"/>
      <c r="AD15" s="90"/>
      <c r="AE15" s="65" t="str">
        <f t="shared" si="0"/>
        <v>K13</v>
      </c>
      <c r="AF15" s="101">
        <f t="shared" si="26"/>
        <v>0</v>
      </c>
      <c r="AG15" s="101">
        <f t="shared" si="27"/>
        <v>0</v>
      </c>
      <c r="AH15" s="101">
        <f t="shared" si="28"/>
        <v>0</v>
      </c>
      <c r="AI15" s="101">
        <f t="shared" si="29"/>
        <v>0</v>
      </c>
      <c r="AJ15" s="101">
        <f t="shared" si="30"/>
        <v>0</v>
      </c>
      <c r="AK15" s="101">
        <f t="shared" si="31"/>
        <v>0</v>
      </c>
      <c r="AL15" s="101">
        <f t="shared" si="32"/>
        <v>0</v>
      </c>
      <c r="AM15" s="101">
        <f t="shared" si="33"/>
        <v>0</v>
      </c>
      <c r="AN15" s="101">
        <f t="shared" si="34"/>
        <v>0</v>
      </c>
      <c r="AO15" s="101">
        <f t="shared" si="35"/>
        <v>0</v>
      </c>
    </row>
    <row r="16" spans="1:41" x14ac:dyDescent="0.25">
      <c r="D16" s="123">
        <v>13</v>
      </c>
      <c r="E16" s="90"/>
      <c r="F16" s="90"/>
      <c r="G16" s="90"/>
      <c r="H16" s="90"/>
      <c r="I16" s="90"/>
      <c r="J16" s="90"/>
      <c r="K16" s="90"/>
      <c r="L16" s="91"/>
      <c r="M16" s="84"/>
      <c r="N16" s="91"/>
      <c r="O16" s="84"/>
      <c r="P16" s="90"/>
      <c r="Q16" s="90"/>
      <c r="R16" s="90"/>
      <c r="S16" s="90"/>
      <c r="T16" s="119"/>
      <c r="U16" s="94"/>
      <c r="V16" s="90"/>
      <c r="W16" s="91"/>
      <c r="X16" s="129"/>
      <c r="Z16" s="84"/>
      <c r="AA16" s="91"/>
      <c r="AB16" s="84"/>
      <c r="AC16" s="91"/>
      <c r="AD16" s="90"/>
      <c r="AE16" s="65" t="str">
        <f t="shared" si="0"/>
        <v>K14</v>
      </c>
      <c r="AF16" s="101">
        <f t="shared" si="26"/>
        <v>0</v>
      </c>
      <c r="AG16" s="101">
        <f t="shared" si="27"/>
        <v>0</v>
      </c>
      <c r="AH16" s="101">
        <f t="shared" si="28"/>
        <v>0</v>
      </c>
      <c r="AI16" s="101">
        <f t="shared" si="29"/>
        <v>0</v>
      </c>
      <c r="AJ16" s="101">
        <f t="shared" si="30"/>
        <v>0</v>
      </c>
      <c r="AK16" s="101">
        <f t="shared" si="31"/>
        <v>0</v>
      </c>
      <c r="AL16" s="101">
        <f t="shared" si="32"/>
        <v>0</v>
      </c>
      <c r="AM16" s="101">
        <f t="shared" si="33"/>
        <v>0</v>
      </c>
      <c r="AN16" s="101">
        <f t="shared" si="34"/>
        <v>0</v>
      </c>
      <c r="AO16" s="101">
        <f t="shared" si="35"/>
        <v>0</v>
      </c>
    </row>
    <row r="17" spans="4:41" x14ac:dyDescent="0.25">
      <c r="D17" s="123">
        <v>14</v>
      </c>
      <c r="E17" s="90"/>
      <c r="F17" s="90"/>
      <c r="G17" s="90"/>
      <c r="H17" s="90"/>
      <c r="I17" s="90"/>
      <c r="J17" s="90"/>
      <c r="K17" s="90"/>
      <c r="L17" s="91"/>
      <c r="M17" s="84"/>
      <c r="N17" s="91"/>
      <c r="O17" s="84"/>
      <c r="P17" s="90"/>
      <c r="Q17" s="90"/>
      <c r="R17" s="90"/>
      <c r="S17" s="90"/>
      <c r="T17" s="119"/>
      <c r="U17" s="94"/>
      <c r="V17" s="90"/>
      <c r="W17" s="91"/>
      <c r="X17" s="129"/>
      <c r="Z17" s="84"/>
      <c r="AA17" s="91"/>
      <c r="AB17" s="84"/>
      <c r="AC17" s="91"/>
      <c r="AD17" s="90"/>
      <c r="AE17" s="65" t="str">
        <f t="shared" si="0"/>
        <v>K15</v>
      </c>
      <c r="AF17" s="101">
        <f t="shared" si="26"/>
        <v>0</v>
      </c>
      <c r="AG17" s="101">
        <f t="shared" si="27"/>
        <v>0</v>
      </c>
      <c r="AH17" s="101">
        <f t="shared" si="28"/>
        <v>0</v>
      </c>
      <c r="AI17" s="101">
        <f t="shared" si="29"/>
        <v>0</v>
      </c>
      <c r="AJ17" s="101">
        <f t="shared" si="30"/>
        <v>0</v>
      </c>
      <c r="AK17" s="101">
        <f t="shared" si="31"/>
        <v>0</v>
      </c>
      <c r="AL17" s="101">
        <f t="shared" si="32"/>
        <v>0</v>
      </c>
      <c r="AM17" s="101">
        <f t="shared" si="33"/>
        <v>0</v>
      </c>
      <c r="AN17" s="101">
        <f t="shared" si="34"/>
        <v>0</v>
      </c>
      <c r="AO17" s="101">
        <f t="shared" si="35"/>
        <v>0</v>
      </c>
    </row>
    <row r="18" spans="4:41" ht="15.75" thickBot="1" x14ac:dyDescent="0.3">
      <c r="D18" s="124">
        <v>15</v>
      </c>
      <c r="E18" s="90"/>
      <c r="F18" s="90"/>
      <c r="G18" s="90"/>
      <c r="H18" s="90"/>
      <c r="I18" s="90"/>
      <c r="J18" s="90"/>
      <c r="K18" s="90"/>
      <c r="L18" s="91"/>
      <c r="M18" s="84"/>
      <c r="N18" s="91"/>
      <c r="O18" s="84"/>
      <c r="P18" s="90"/>
      <c r="Q18" s="90"/>
      <c r="R18" s="90"/>
      <c r="S18" s="90"/>
      <c r="T18" s="119"/>
      <c r="U18" s="94"/>
      <c r="V18" s="90"/>
      <c r="W18" s="91"/>
      <c r="X18" s="129"/>
      <c r="Z18" s="108"/>
      <c r="AA18" s="109"/>
      <c r="AB18" s="108"/>
      <c r="AC18" s="109"/>
      <c r="AD18" s="90"/>
      <c r="AE18" s="65"/>
    </row>
    <row r="19" spans="4:41" ht="15.75" thickBot="1" x14ac:dyDescent="0.3">
      <c r="D19" s="78" t="s">
        <v>95</v>
      </c>
      <c r="E19" s="118"/>
      <c r="F19" s="79"/>
      <c r="G19" s="80">
        <f>SUM(G4:G18)</f>
        <v>337</v>
      </c>
      <c r="H19" s="80">
        <f>SUM(H4:H18)</f>
        <v>34352.701325178386</v>
      </c>
      <c r="I19" s="80"/>
      <c r="J19" s="80"/>
      <c r="K19" s="80">
        <f t="shared" ref="K19:L19" si="36">SUM(K4:K18)</f>
        <v>1751.4</v>
      </c>
      <c r="L19" s="81">
        <f t="shared" si="36"/>
        <v>921.45</v>
      </c>
      <c r="M19" s="100"/>
      <c r="N19" s="81"/>
      <c r="O19" s="79"/>
      <c r="P19" s="79"/>
      <c r="Q19" s="79"/>
      <c r="R19" s="81">
        <f t="shared" ref="R19:S19" si="37">SUM(R4:R18)</f>
        <v>118621.29689034104</v>
      </c>
      <c r="S19" s="81">
        <f t="shared" si="37"/>
        <v>188680.17196028648</v>
      </c>
      <c r="T19" s="81">
        <f t="shared" ref="T19:W19" si="38">SUM(T4:T18)</f>
        <v>3315.1345806013373</v>
      </c>
      <c r="U19" s="81">
        <f t="shared" si="38"/>
        <v>1961.9261260572093</v>
      </c>
      <c r="V19" s="81">
        <f t="shared" si="38"/>
        <v>9411.2183641044503</v>
      </c>
      <c r="W19" s="81">
        <f t="shared" si="38"/>
        <v>9009.3065177736025</v>
      </c>
      <c r="X19" s="126"/>
    </row>
    <row r="20" spans="4:41" x14ac:dyDescent="0.25">
      <c r="K20" s="82" t="s">
        <v>130</v>
      </c>
      <c r="L20" s="116">
        <f>K19/G19</f>
        <v>5.1970326409495549</v>
      </c>
      <c r="M20" s="94"/>
      <c r="N20" s="76" t="s">
        <v>141</v>
      </c>
      <c r="O20" s="107">
        <f>Εc*SUM(O4:O18)</f>
        <v>16781.893308107276</v>
      </c>
      <c r="Q20" s="152" t="s">
        <v>145</v>
      </c>
      <c r="R20" s="153"/>
      <c r="S20" s="110">
        <f>R19+S19</f>
        <v>307301.46885062754</v>
      </c>
      <c r="T20" s="91"/>
      <c r="V20" s="120" t="s">
        <v>158</v>
      </c>
      <c r="W20" s="73">
        <f>V19/U19</f>
        <v>4.7969279980065984</v>
      </c>
      <c r="X20" s="102" t="s">
        <v>108</v>
      </c>
    </row>
    <row r="21" spans="4:41" ht="15.75" thickBot="1" x14ac:dyDescent="0.3">
      <c r="K21" s="83" t="s">
        <v>131</v>
      </c>
      <c r="L21" s="117">
        <f>L19/G19</f>
        <v>2.7342729970326412</v>
      </c>
      <c r="M21" s="94"/>
      <c r="N21" s="74" t="s">
        <v>140</v>
      </c>
      <c r="O21" s="99">
        <f>Εc*SUM(P4:P18)</f>
        <v>4567.3392481095962</v>
      </c>
      <c r="Q21" s="84"/>
      <c r="R21" s="111" t="s">
        <v>146</v>
      </c>
      <c r="S21" s="131">
        <f>SQRT(S20/O21)</f>
        <v>8.2025839257371764</v>
      </c>
      <c r="T21" s="112" t="s">
        <v>108</v>
      </c>
      <c r="V21" s="121" t="s">
        <v>159</v>
      </c>
      <c r="W21" s="77">
        <f>W19/T19</f>
        <v>2.7176291938469026</v>
      </c>
      <c r="X21" s="102" t="s">
        <v>108</v>
      </c>
    </row>
    <row r="22" spans="4:41" ht="15.75" thickBot="1" x14ac:dyDescent="0.3">
      <c r="Q22" s="108"/>
      <c r="R22" s="113" t="s">
        <v>147</v>
      </c>
      <c r="S22" s="132">
        <f>SQRT(S20/O20)</f>
        <v>4.2791926624747347</v>
      </c>
      <c r="T22" s="114" t="s">
        <v>108</v>
      </c>
      <c r="V22" s="83" t="s">
        <v>160</v>
      </c>
      <c r="W22" s="75">
        <f>SQRT(((W20-L20)^2)+((W21-L21)^2))</f>
        <v>0.40045067297857834</v>
      </c>
      <c r="X22" s="102" t="s">
        <v>108</v>
      </c>
    </row>
    <row r="24" spans="4:41" x14ac:dyDescent="0.25">
      <c r="R24" t="s">
        <v>178</v>
      </c>
    </row>
    <row r="25" spans="4:41" x14ac:dyDescent="0.25">
      <c r="R25" s="65" t="s">
        <v>172</v>
      </c>
      <c r="S25" s="71">
        <f>ABS(L20-W20)</f>
        <v>0.40010464294295645</v>
      </c>
    </row>
    <row r="26" spans="4:41" x14ac:dyDescent="0.25">
      <c r="R26" s="65" t="s">
        <v>173</v>
      </c>
      <c r="S26" s="71">
        <f>ABS(L21-W21)</f>
        <v>1.6643803185738548E-2</v>
      </c>
    </row>
    <row r="27" spans="4:41" x14ac:dyDescent="0.25">
      <c r="R27" t="str">
        <f>IF(AND(S25&lt;=0.3*S21,S26*0.3&lt;=S22),"Κανονικό σε κάτοψη","Μη κανονικό σε κάτοψη")</f>
        <v>Κανονικό σε κάτοψη</v>
      </c>
    </row>
  </sheetData>
  <scenarios current="0">
    <scenario name="Scenario 1" count="14" user="ioannis" comment="Created by ioannis on 7/7/2011">
      <inputCells r="E4" val="0.25" numFmtId="2"/>
      <inputCells r="F4" val="1" numFmtId="2"/>
      <inputCells r="E5" val="0.3" numFmtId="2"/>
      <inputCells r="F5" val="0.390933788442948" numFmtId="2"/>
      <inputCells r="E6" val="2" numFmtId="2"/>
      <inputCells r="F6" val="0.4" numFmtId="2"/>
      <inputCells r="E7" val="0.5" numFmtId="2"/>
      <inputCells r="F7" val="0.5" numFmtId="2"/>
      <inputCells r="E8" val="2" numFmtId="2"/>
      <inputCells r="F8" val="0.4" numFmtId="2"/>
      <inputCells r="E9" val="1.3444655187328" numFmtId="2"/>
      <inputCells r="F9" val="0.25" numFmtId="2"/>
      <inputCells r="E10" val="0.4" numFmtId="2"/>
      <inputCells r="F10" val="1.5" numFmtId="2"/>
    </scenario>
  </scenarios>
  <dataConsolidate/>
  <mergeCells count="8">
    <mergeCell ref="Q20:R20"/>
    <mergeCell ref="AF1:AO1"/>
    <mergeCell ref="Z1:AA1"/>
    <mergeCell ref="AB1:AC1"/>
    <mergeCell ref="E1:L1"/>
    <mergeCell ref="M1:N1"/>
    <mergeCell ref="O1:S1"/>
    <mergeCell ref="T1:W1"/>
  </mergeCells>
  <pageMargins left="0.7" right="0.7" top="0.75" bottom="0.75" header="0.3" footer="0.3"/>
  <ignoredErrors>
    <ignoredError sqref="H4:H10 B6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25</vt:i4>
      </vt:variant>
    </vt:vector>
  </HeadingPairs>
  <TitlesOfParts>
    <vt:vector size="29" baseType="lpstr">
      <vt:lpstr>EC8-GR</vt:lpstr>
      <vt:lpstr>DATA</vt:lpstr>
      <vt:lpstr>OUTPUT</vt:lpstr>
      <vt:lpstr>ri</vt:lpstr>
      <vt:lpstr>agDL</vt:lpstr>
      <vt:lpstr>agR</vt:lpstr>
      <vt:lpstr>avg</vt:lpstr>
      <vt:lpstr>cc</vt:lpstr>
      <vt:lpstr>fck</vt:lpstr>
      <vt:lpstr>g</vt:lpstr>
      <vt:lpstr>Gc</vt:lpstr>
      <vt:lpstr>Hi</vt:lpstr>
      <vt:lpstr>Hs</vt:lpstr>
      <vt:lpstr>n</vt:lpstr>
      <vt:lpstr>q</vt:lpstr>
      <vt:lpstr>q_v</vt:lpstr>
      <vt:lpstr>S</vt:lpstr>
      <vt:lpstr>T</vt:lpstr>
      <vt:lpstr>TB</vt:lpstr>
      <vt:lpstr>TC</vt:lpstr>
      <vt:lpstr>TD</vt:lpstr>
      <vt:lpstr>v</vt:lpstr>
      <vt:lpstr>αgNC</vt:lpstr>
      <vt:lpstr>β</vt:lpstr>
      <vt:lpstr>γΙ</vt:lpstr>
      <vt:lpstr>Εc</vt:lpstr>
      <vt:lpstr>Ηi</vt:lpstr>
      <vt:lpstr>ν</vt:lpstr>
      <vt:lpstr>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Black</dc:creator>
  <cp:lastModifiedBy>Ioannis Vousvoukis</cp:lastModifiedBy>
  <cp:lastPrinted>2010-04-20T16:49:53Z</cp:lastPrinted>
  <dcterms:created xsi:type="dcterms:W3CDTF">2010-04-20T11:56:40Z</dcterms:created>
  <dcterms:modified xsi:type="dcterms:W3CDTF">2020-01-21T10:29:44Z</dcterms:modified>
</cp:coreProperties>
</file>